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emailwsu-my.sharepoint.com/personal/bramwell_wsu_edu/Documents/02 - Programming/02 - Ecosystem services/01 - SARE Prairie-Grazing Study/Enterprise budgets/Final E-budget modifications/Final Livestock budgets/"/>
    </mc:Choice>
  </mc:AlternateContent>
  <xr:revisionPtr revIDLastSave="11" documentId="8_{7F615C99-2319-4A5C-A3AE-54F7BB5EFE43}" xr6:coauthVersionLast="45" xr6:coauthVersionMax="46" xr10:uidLastSave="{C3B28F5C-1A2E-4D25-8D29-41000084A5F1}"/>
  <bookViews>
    <workbookView xWindow="-108" yWindow="-108" windowWidth="23256" windowHeight="12576" activeTab="5" xr2:uid="{00000000-000D-0000-FFFF-FFFF00000000}"/>
  </bookViews>
  <sheets>
    <sheet name="Summary" sheetId="28" r:id="rId1"/>
    <sheet name="Cow-Calf" sheetId="34" state="hidden" r:id="rId2"/>
    <sheet name="Capital Recovery" sheetId="33" state="hidden" r:id="rId3"/>
    <sheet name="Yearling budget" sheetId="36" r:id="rId4"/>
    <sheet name="Selling steers USDA inspected " sheetId="32" r:id="rId5"/>
    <sheet name="Selling steers locker beef" sheetId="35" r:id="rId6"/>
    <sheet name="Capital Recovery, Cold Storage" sheetId="37" r:id="rId7"/>
  </sheets>
  <externalReferences>
    <externalReference r:id="rId8"/>
    <externalReference r:id="rId9"/>
  </externalReferences>
  <definedNames>
    <definedName name="alf" localSheetId="0">'[1]Input Prices'!#REF!</definedName>
    <definedName name="alf">'[1]Input Prices'!#REF!</definedName>
    <definedName name="Alfalfa">'[1]Input Prices'!$C$6</definedName>
    <definedName name="Barley">'[1]Input Prices'!$C$7</definedName>
    <definedName name="Bull" localSheetId="0">'[1]Input Prices'!#REF!</definedName>
    <definedName name="Bull">'[1]Input Prices'!#REF!</definedName>
    <definedName name="carcassyield_heifer">#REF!</definedName>
    <definedName name="carcassyield_steer">#REF!</definedName>
    <definedName name="ChkOff">'[1]Input Prices'!$C$17</definedName>
    <definedName name="CropAft">'[1]Input Prices'!$C$12</definedName>
    <definedName name="Cull" localSheetId="0">'[1]Input Prices'!#REF!</definedName>
    <definedName name="Cull">'[1]Input Prices'!#REF!</definedName>
    <definedName name="fed">'[1]Input Prices'!$C$8</definedName>
    <definedName name="finishwt_heifer">#REF!</definedName>
    <definedName name="finishwt_steer">#REF!</definedName>
    <definedName name="FreeStall_No.">'[2]Table 1 Enterprise Budget'!$C$2</definedName>
    <definedName name="head">'Cow-Calf'!$N$5</definedName>
    <definedName name="Heifer" localSheetId="0">'[1]Input Prices'!#REF!</definedName>
    <definedName name="Heifer">'[1]Input Prices'!#REF!</definedName>
    <definedName name="Heifers">#REF!</definedName>
    <definedName name="hrdlbr" localSheetId="0">'[1]Input Prices'!#REF!</definedName>
    <definedName name="hrdlbr">'[1]Input Prices'!#REF!</definedName>
    <definedName name="llabor">'[1]Input Prices'!$C$21</definedName>
    <definedName name="Mdwhay" localSheetId="0">'[1]Input Prices'!#REF!</definedName>
    <definedName name="Mdwhay">'[1]Input Prices'!#REF!</definedName>
    <definedName name="Mdwpastr">'[1]Input Prices'!$C$10</definedName>
    <definedName name="Meadow" localSheetId="0">'[1]Input Prices'!#REF!</definedName>
    <definedName name="Meadow">'[1]Input Prices'!#REF!</definedName>
    <definedName name="Minerals">'[1]Input Prices'!$C$14</definedName>
    <definedName name="opint">'[1]Input Prices'!$C$25</definedName>
    <definedName name="ownlbr">'[1]Input Prices'!$C$20</definedName>
    <definedName name="_xlnm.Print_Area" localSheetId="2">'Capital Recovery'!$A$1:$L$29</definedName>
    <definedName name="_xlnm.Print_Area" localSheetId="6">'Capital Recovery, Cold Storage'!$A$1:$L$16</definedName>
    <definedName name="_xlnm.Print_Area" localSheetId="1">'Cow-Calf'!$A$1:$N$56</definedName>
    <definedName name="_xlnm.Print_Area" localSheetId="5">'Selling steers locker beef'!$A$1:$O$46</definedName>
    <definedName name="_xlnm.Print_Area" localSheetId="4">'Selling steers USDA inspected '!$A$1:$O$51</definedName>
    <definedName name="_xlnm.Print_Area" localSheetId="0">Summary!$A$1:$R$18</definedName>
    <definedName name="_xlnm.Print_Area" localSheetId="3">'Yearling budget'!$A$1:$O$44</definedName>
    <definedName name="Private">'[1]Input Prices'!$C$11</definedName>
    <definedName name="RepHeif" localSheetId="0">'[1]Input Prices'!#REF!</definedName>
    <definedName name="RepHeif">'[1]Input Prices'!#REF!</definedName>
    <definedName name="Retlivint">'[1]Input Prices'!$C$26</definedName>
    <definedName name="Salt">'[1]Input Prices'!$C$13</definedName>
    <definedName name="state">'[1]Input Prices'!$C$9</definedName>
    <definedName name="Steer" localSheetId="0">'[1]Input Prices'!#REF!</definedName>
    <definedName name="Steer">'[1]Input Prices'!#REF!</definedName>
    <definedName name="Steers">#REF!</definedName>
    <definedName name="yield">'Selling steers USDA inspected '!$Q$13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 i="32" l="1"/>
  <c r="I17" i="32" l="1"/>
  <c r="P16" i="28" l="1"/>
  <c r="P15" i="28"/>
  <c r="N16" i="28"/>
  <c r="L16" i="28"/>
  <c r="L15" i="28"/>
  <c r="H16" i="28"/>
  <c r="F15" i="28"/>
  <c r="I19" i="34"/>
  <c r="I18" i="32"/>
  <c r="I11" i="32"/>
  <c r="M11" i="32"/>
  <c r="N11" i="32"/>
  <c r="E12" i="35"/>
  <c r="I25" i="35"/>
  <c r="I25" i="32"/>
  <c r="L16" i="37"/>
  <c r="D10" i="37"/>
  <c r="I6" i="37"/>
  <c r="L6" i="37"/>
  <c r="D5" i="37"/>
  <c r="M19" i="35"/>
  <c r="N19" i="35"/>
  <c r="K19" i="35"/>
  <c r="I19" i="35"/>
  <c r="K19" i="32"/>
  <c r="I19" i="36"/>
  <c r="M19" i="36"/>
  <c r="N19" i="36"/>
  <c r="I19" i="32"/>
  <c r="I17" i="35"/>
  <c r="I18" i="35"/>
  <c r="K22" i="34"/>
  <c r="I21" i="34"/>
  <c r="M19" i="32"/>
  <c r="N19" i="32"/>
  <c r="D9" i="37"/>
  <c r="L5" i="37"/>
  <c r="L15" i="37"/>
  <c r="I9" i="37"/>
  <c r="I10" i="37"/>
  <c r="D12" i="37"/>
  <c r="D13" i="37"/>
  <c r="K20" i="36"/>
  <c r="M20" i="36"/>
  <c r="N20" i="36"/>
  <c r="I18" i="36"/>
  <c r="M18" i="36"/>
  <c r="N18" i="36"/>
  <c r="I17" i="36"/>
  <c r="M17" i="36"/>
  <c r="M38" i="36"/>
  <c r="N38" i="36"/>
  <c r="M37" i="36"/>
  <c r="N37" i="36"/>
  <c r="M29" i="36"/>
  <c r="N29" i="36"/>
  <c r="M28" i="36"/>
  <c r="N28" i="36"/>
  <c r="M27" i="36"/>
  <c r="N27" i="36"/>
  <c r="M26" i="36"/>
  <c r="N26" i="36"/>
  <c r="M25" i="36"/>
  <c r="N25" i="36"/>
  <c r="M24" i="36"/>
  <c r="N24" i="36"/>
  <c r="M23" i="36"/>
  <c r="N23" i="36"/>
  <c r="I22" i="36"/>
  <c r="M22" i="36"/>
  <c r="N22" i="36"/>
  <c r="M21" i="36"/>
  <c r="N21" i="36"/>
  <c r="M13" i="36"/>
  <c r="N13" i="36"/>
  <c r="I12" i="36"/>
  <c r="M12" i="36"/>
  <c r="N12" i="36"/>
  <c r="I11" i="36"/>
  <c r="M11" i="36"/>
  <c r="K30" i="32"/>
  <c r="L14" i="33"/>
  <c r="I26" i="34"/>
  <c r="D16" i="37"/>
  <c r="D15" i="37"/>
  <c r="K44" i="32"/>
  <c r="M44" i="32"/>
  <c r="N44" i="32"/>
  <c r="N11" i="36"/>
  <c r="N14" i="36"/>
  <c r="F12" i="28"/>
  <c r="M14" i="36"/>
  <c r="M30" i="36"/>
  <c r="N17" i="36"/>
  <c r="M39" i="36"/>
  <c r="N39" i="36"/>
  <c r="L12" i="28"/>
  <c r="M32" i="36"/>
  <c r="N30" i="36"/>
  <c r="M41" i="36"/>
  <c r="M43" i="36"/>
  <c r="N41" i="36"/>
  <c r="N43" i="36"/>
  <c r="H12" i="28"/>
  <c r="N32" i="36"/>
  <c r="P14" i="28"/>
  <c r="M12" i="35"/>
  <c r="N12" i="35" s="1"/>
  <c r="N14" i="35" s="1"/>
  <c r="M40" i="35"/>
  <c r="M39" i="35"/>
  <c r="N39" i="35"/>
  <c r="M31" i="35"/>
  <c r="N31" i="35"/>
  <c r="M30" i="35"/>
  <c r="N30" i="35"/>
  <c r="M29" i="35"/>
  <c r="N29" i="35"/>
  <c r="M28" i="35"/>
  <c r="N28" i="35"/>
  <c r="M27" i="35"/>
  <c r="N27" i="35"/>
  <c r="I26" i="35"/>
  <c r="M26" i="35"/>
  <c r="N26" i="35"/>
  <c r="M25" i="35"/>
  <c r="N25" i="35"/>
  <c r="M24" i="35"/>
  <c r="N24" i="35"/>
  <c r="I23" i="35"/>
  <c r="M23" i="35"/>
  <c r="N23" i="35"/>
  <c r="I22" i="35"/>
  <c r="M22" i="35"/>
  <c r="N22" i="35"/>
  <c r="K20" i="35"/>
  <c r="M20" i="35"/>
  <c r="N20" i="35"/>
  <c r="M18" i="35"/>
  <c r="N18" i="35"/>
  <c r="M17" i="35"/>
  <c r="M13" i="35"/>
  <c r="N13" i="35"/>
  <c r="I12" i="35"/>
  <c r="I11" i="35"/>
  <c r="M11" i="35"/>
  <c r="M41" i="35"/>
  <c r="N41" i="35"/>
  <c r="L14" i="28"/>
  <c r="N14" i="28" s="1"/>
  <c r="N11" i="35"/>
  <c r="K21" i="35"/>
  <c r="M21" i="35"/>
  <c r="N21" i="35"/>
  <c r="N17" i="35"/>
  <c r="N40" i="35"/>
  <c r="I20" i="33"/>
  <c r="M32" i="35"/>
  <c r="I20" i="34"/>
  <c r="M43" i="35"/>
  <c r="N32" i="35"/>
  <c r="H14" i="28"/>
  <c r="P13" i="28"/>
  <c r="M46" i="34"/>
  <c r="N46" i="34"/>
  <c r="E12" i="32"/>
  <c r="I12" i="32"/>
  <c r="N43" i="35"/>
  <c r="I27" i="32"/>
  <c r="M46" i="32"/>
  <c r="I28" i="32"/>
  <c r="M12" i="32"/>
  <c r="N12" i="32"/>
  <c r="N46" i="32"/>
  <c r="M45" i="32"/>
  <c r="M35" i="32"/>
  <c r="N35" i="32"/>
  <c r="M34" i="32"/>
  <c r="N34" i="32"/>
  <c r="M33" i="32"/>
  <c r="N33" i="32"/>
  <c r="M32" i="32"/>
  <c r="N32" i="32"/>
  <c r="M31" i="32"/>
  <c r="N31" i="32"/>
  <c r="M30" i="32"/>
  <c r="N30" i="32"/>
  <c r="M29" i="32"/>
  <c r="N29" i="32"/>
  <c r="M28" i="32"/>
  <c r="N28" i="32"/>
  <c r="M27" i="32"/>
  <c r="N27" i="32"/>
  <c r="I26" i="32"/>
  <c r="M26" i="32"/>
  <c r="N26" i="32"/>
  <c r="M25" i="32"/>
  <c r="N25" i="32"/>
  <c r="M24" i="32"/>
  <c r="N24" i="32"/>
  <c r="I23" i="32"/>
  <c r="M23" i="32"/>
  <c r="N23" i="32"/>
  <c r="M22" i="32"/>
  <c r="N22" i="32"/>
  <c r="K20" i="32"/>
  <c r="M20" i="32"/>
  <c r="N20" i="32"/>
  <c r="M18" i="32"/>
  <c r="N18" i="32"/>
  <c r="M17" i="32"/>
  <c r="M13" i="32"/>
  <c r="N13" i="32"/>
  <c r="N45" i="32"/>
  <c r="M47" i="32"/>
  <c r="N47" i="32"/>
  <c r="L13" i="28"/>
  <c r="N14" i="32"/>
  <c r="F13" i="28"/>
  <c r="K21" i="32"/>
  <c r="M21" i="32"/>
  <c r="N21" i="32"/>
  <c r="N17" i="32"/>
  <c r="M14" i="32"/>
  <c r="M49" i="32"/>
  <c r="M51" i="32" s="1"/>
  <c r="M38" i="32"/>
  <c r="N36" i="32"/>
  <c r="N38" i="32" s="1"/>
  <c r="I19" i="33"/>
  <c r="I18" i="33"/>
  <c r="L15" i="33"/>
  <c r="L13" i="33"/>
  <c r="L12" i="33"/>
  <c r="D11" i="33"/>
  <c r="L9" i="33"/>
  <c r="L8" i="33"/>
  <c r="L7" i="33"/>
  <c r="L6" i="33"/>
  <c r="D5" i="33"/>
  <c r="M51" i="34"/>
  <c r="N51" i="34"/>
  <c r="M50" i="34"/>
  <c r="N50" i="34"/>
  <c r="M37" i="34"/>
  <c r="N37" i="34"/>
  <c r="M36" i="34"/>
  <c r="N36" i="34"/>
  <c r="M35" i="34"/>
  <c r="N35" i="34"/>
  <c r="M34" i="34"/>
  <c r="N34" i="34"/>
  <c r="M33" i="34"/>
  <c r="N33" i="34"/>
  <c r="M32" i="34"/>
  <c r="N32" i="34"/>
  <c r="M31" i="34"/>
  <c r="N31" i="34"/>
  <c r="M30" i="34"/>
  <c r="N30" i="34"/>
  <c r="M29" i="34"/>
  <c r="N29" i="34"/>
  <c r="M28" i="34"/>
  <c r="N28" i="34"/>
  <c r="M27" i="34"/>
  <c r="N27" i="34"/>
  <c r="M26" i="34"/>
  <c r="N26" i="34"/>
  <c r="M25" i="34"/>
  <c r="N25" i="34"/>
  <c r="M24" i="34"/>
  <c r="N24" i="34"/>
  <c r="M23" i="34"/>
  <c r="N23" i="34"/>
  <c r="M22" i="34"/>
  <c r="N22" i="34"/>
  <c r="M21" i="34"/>
  <c r="N21" i="34"/>
  <c r="M20" i="34"/>
  <c r="N20" i="34"/>
  <c r="M19" i="34"/>
  <c r="M15" i="34"/>
  <c r="N15" i="34"/>
  <c r="M14" i="34"/>
  <c r="N14" i="34"/>
  <c r="M13" i="34"/>
  <c r="N13" i="34"/>
  <c r="M12" i="34"/>
  <c r="N12" i="34"/>
  <c r="M11" i="34"/>
  <c r="I22" i="33"/>
  <c r="I23" i="33"/>
  <c r="D17" i="33"/>
  <c r="I49" i="34"/>
  <c r="M49" i="34"/>
  <c r="N49" i="34"/>
  <c r="D22" i="33"/>
  <c r="D23" i="33"/>
  <c r="L5" i="33"/>
  <c r="M16" i="34"/>
  <c r="L11" i="33"/>
  <c r="K48" i="34"/>
  <c r="M48" i="34"/>
  <c r="N48" i="34"/>
  <c r="M38" i="34"/>
  <c r="N19" i="34"/>
  <c r="N11" i="34"/>
  <c r="N16" i="34"/>
  <c r="D25" i="33"/>
  <c r="D26" i="33"/>
  <c r="L28" i="33"/>
  <c r="K47" i="34"/>
  <c r="M47" i="34"/>
  <c r="N38" i="34"/>
  <c r="M40" i="34"/>
  <c r="N40" i="34"/>
  <c r="N47" i="34"/>
  <c r="M52" i="34"/>
  <c r="L29" i="33"/>
  <c r="D29" i="33"/>
  <c r="D28" i="33"/>
  <c r="N52" i="34"/>
  <c r="M54" i="34"/>
  <c r="N54" i="34"/>
  <c r="M56" i="34"/>
  <c r="N56" i="34"/>
  <c r="N49" i="32" l="1"/>
  <c r="N51" i="32" s="1"/>
  <c r="H13" i="28"/>
  <c r="H15" i="28" s="1"/>
  <c r="M14" i="35"/>
  <c r="M45" i="35" s="1"/>
  <c r="N45" i="35"/>
  <c r="N34" i="35"/>
  <c r="F14" i="28"/>
  <c r="O14" i="28"/>
  <c r="Q14" i="28" s="1"/>
  <c r="N12" i="28"/>
  <c r="J12" i="28"/>
  <c r="N13" i="28" l="1"/>
  <c r="O13" i="28" s="1"/>
  <c r="Q13" i="28" s="1"/>
  <c r="J13" i="28"/>
  <c r="N15" i="28"/>
  <c r="O15" i="28" s="1"/>
  <c r="Q15" i="28" s="1"/>
  <c r="J15" i="28"/>
  <c r="M34" i="35"/>
  <c r="J14" i="28"/>
  <c r="F16" i="28"/>
  <c r="O12" i="28"/>
  <c r="J16" i="28" l="1"/>
  <c r="O16" i="28"/>
  <c r="Q16" i="28" s="1"/>
  <c r="Q1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tc={3C64C01A-6D71-40B8-A805-7D3CE7093443}</author>
    <author>Anonymous reviewer</author>
    <author>tc={A4987B80-51C2-4354-A9E9-0D692F441994}</author>
    <author>Ben</author>
  </authors>
  <commentList>
    <comment ref="C19" authorId="0" shapeId="0" xr:uid="{3C64C01A-6D71-40B8-A805-7D3CE7093443}">
      <text>
        <t>[Threaded comment]
Your version of Excel allows you to read this threaded comment; however, any edits to it will get removed if the file is opened in a newer version of Excel. Learn more: https://go.microsoft.com/fwlink/?linkid=870924
Comment:
    30 lb per day per cow, 14 lb per day per replacement heifer (10), 40 lb per day per bull (2)</t>
      </text>
    </comment>
    <comment ref="I20" authorId="1" shapeId="0" xr:uid="{00000000-0006-0000-0100-000001000000}">
      <text>
        <r>
          <rPr>
            <b/>
            <sz val="9"/>
            <color indexed="81"/>
            <rFont val="Tahoma"/>
            <family val="2"/>
          </rPr>
          <t>1 AUM per cow plus 1.4 AUM per bull</t>
        </r>
      </text>
    </comment>
    <comment ref="K22" authorId="2" shapeId="0" xr:uid="{A4987B80-51C2-4354-A9E9-0D692F441994}">
      <text>
        <t>[Threaded comment]
Your version of Excel allows you to read this threaded comment; however, any edits to it will get removed if the file is opened in a newer version of Excel. Learn more: https://go.microsoft.com/fwlink/?linkid=870924
Comment:
    $20 per head for cows, $25 per head for bulls, $10 per head for calves.</t>
      </text>
    </comment>
    <comment ref="K33" authorId="3" shapeId="0" xr:uid="{00000000-0006-0000-0100-000002000000}">
      <text>
        <r>
          <rPr>
            <b/>
            <sz val="9"/>
            <color indexed="81"/>
            <rFont val="Tahoma"/>
            <family val="2"/>
          </rPr>
          <t>Cow-calf enterprise share of machinery fuel, oil, and repair expenses.</t>
        </r>
      </text>
    </comment>
    <comment ref="K34" authorId="3" shapeId="0" xr:uid="{00000000-0006-0000-0100-000003000000}">
      <text>
        <r>
          <rPr>
            <b/>
            <sz val="9"/>
            <color indexed="81"/>
            <rFont val="Tahoma"/>
            <family val="2"/>
          </rPr>
          <t>Cow-calf enterprise share of vehicle fuel and repair expenses.</t>
        </r>
      </text>
    </comment>
    <comment ref="K35" authorId="3" shapeId="0" xr:uid="{00000000-0006-0000-0100-000004000000}">
      <text>
        <r>
          <rPr>
            <b/>
            <sz val="9"/>
            <color indexed="81"/>
            <rFont val="Tahoma"/>
            <family val="2"/>
          </rPr>
          <t>Cow-calf enterprise share of equipment repair expenses.</t>
        </r>
      </text>
    </comment>
    <comment ref="K36" authorId="3" shapeId="0" xr:uid="{00000000-0006-0000-0100-000005000000}">
      <text>
        <r>
          <rPr>
            <b/>
            <sz val="9"/>
            <color indexed="81"/>
            <rFont val="Tahoma"/>
            <family val="2"/>
          </rPr>
          <t>Cow-calf enterprise share of buildings and improvements repair expenses.</t>
        </r>
      </text>
    </comment>
    <comment ref="I37" authorId="3" shapeId="0" xr:uid="{00000000-0006-0000-0100-000006000000}">
      <text>
        <r>
          <rPr>
            <b/>
            <sz val="9"/>
            <color indexed="81"/>
            <rFont val="Tahoma"/>
            <family val="2"/>
          </rPr>
          <t>Average annual operating loan balance.</t>
        </r>
      </text>
    </comment>
    <comment ref="K37" authorId="3" shapeId="0" xr:uid="{00000000-0006-0000-0100-000007000000}">
      <text>
        <r>
          <rPr>
            <b/>
            <sz val="9"/>
            <color indexed="81"/>
            <rFont val="Tahoma"/>
            <family val="2"/>
          </rPr>
          <t>Interest rate on operating capital.</t>
        </r>
      </text>
    </comment>
    <comment ref="K46" authorId="3" shapeId="0" xr:uid="{00000000-0006-0000-0100-000008000000}">
      <text>
        <r>
          <rPr>
            <b/>
            <sz val="9"/>
            <color indexed="81"/>
            <rFont val="Tahoma"/>
            <family val="2"/>
          </rPr>
          <t>Annual depreciation on purchased livestock such as bulls and replacement heifers.</t>
        </r>
      </text>
    </comment>
    <comment ref="K47" authorId="3" shapeId="0" xr:uid="{00000000-0006-0000-0100-000009000000}">
      <text>
        <r>
          <rPr>
            <b/>
            <sz val="9"/>
            <color indexed="81"/>
            <rFont val="Tahoma"/>
            <family val="2"/>
          </rPr>
          <t>Annual depreciation on buildings, improvements, and equipment.</t>
        </r>
      </text>
    </comment>
    <comment ref="K48" authorId="3" shapeId="0" xr:uid="{00000000-0006-0000-0100-00000A000000}">
      <text>
        <r>
          <rPr>
            <b/>
            <sz val="9"/>
            <color indexed="81"/>
            <rFont val="Tahoma"/>
            <family val="2"/>
          </rPr>
          <t xml:space="preserve">Annual depreciation on machinery and vehicles.
</t>
        </r>
      </text>
    </comment>
    <comment ref="I49" authorId="3" shapeId="0" xr:uid="{00000000-0006-0000-0100-00000B000000}">
      <text>
        <r>
          <rPr>
            <b/>
            <sz val="9"/>
            <color indexed="81"/>
            <rFont val="Tahoma"/>
            <family val="2"/>
          </rPr>
          <t>The total market value of stock cows.</t>
        </r>
      </text>
    </comment>
    <comment ref="K49" authorId="3" shapeId="0" xr:uid="{00000000-0006-0000-0100-00000C000000}">
      <text>
        <r>
          <rPr>
            <b/>
            <sz val="9"/>
            <color indexed="81"/>
            <rFont val="Tahoma"/>
            <family val="2"/>
          </rPr>
          <t>The opportunity cost of capital, or the rate you could earn in another investment.</t>
        </r>
      </text>
    </comment>
    <comment ref="K50" authorId="3" shapeId="0" xr:uid="{00000000-0006-0000-0100-00000D000000}">
      <text>
        <r>
          <rPr>
            <b/>
            <sz val="9"/>
            <color indexed="81"/>
            <rFont val="Tahoma"/>
            <family val="2"/>
          </rPr>
          <t>Total annual property taxes and insurance expense.</t>
        </r>
      </text>
    </comment>
    <comment ref="K51" authorId="3" shapeId="0" xr:uid="{00000000-0006-0000-0100-00000E000000}">
      <text>
        <r>
          <rPr>
            <b/>
            <sz val="9"/>
            <color indexed="81"/>
            <rFont val="Tahoma"/>
            <family val="2"/>
          </rPr>
          <t>General overhead costs. Examples may include indirect: labor, materials, utilities, and depreciation.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tc={D1AB0EAA-B8E2-4080-B4CB-CB330BC5D3BC}</author>
    <author>Ben</author>
  </authors>
  <commentList>
    <comment ref="C12" authorId="0" shapeId="0" xr:uid="{D1AB0EAA-B8E2-4080-B4CB-CB330BC5D3BC}">
      <text>
        <t>[Threaded comment]
Your version of Excel allows you to read this threaded comment; however, any edits to it will get removed if the file is opened in a newer version of Excel. Learn more: https://go.microsoft.com/fwlink/?linkid=870924
Comment:
    Ask Kate: these are live steers right? Sold to the 2nd year of the grass finishing operation</t>
      </text>
    </comment>
    <comment ref="K25" authorId="1" shapeId="0" xr:uid="{73202DEB-EF1A-44DA-B220-421A19430D81}">
      <text>
        <r>
          <rPr>
            <b/>
            <sz val="9"/>
            <color indexed="81"/>
            <rFont val="Tahoma"/>
            <family val="2"/>
          </rPr>
          <t>Stocker enterprise share of machinery fuel, oil, and repair expenses.</t>
        </r>
      </text>
    </comment>
    <comment ref="K26" authorId="1" shapeId="0" xr:uid="{D8B5726A-4732-403C-9B40-E6C1DCC9E966}">
      <text>
        <r>
          <rPr>
            <b/>
            <sz val="9"/>
            <color indexed="81"/>
            <rFont val="Tahoma"/>
            <family val="2"/>
          </rPr>
          <t>Stocker enterprise share of vehicle fuel and repair expenses.</t>
        </r>
      </text>
    </comment>
    <comment ref="K27" authorId="1" shapeId="0" xr:uid="{EDB8F02A-35B6-4DAA-A7B2-AD17B176DC4C}">
      <text>
        <r>
          <rPr>
            <b/>
            <sz val="9"/>
            <color indexed="81"/>
            <rFont val="Tahoma"/>
            <family val="2"/>
          </rPr>
          <t>Stocker enterprise share of equipment repair expenses.</t>
        </r>
      </text>
    </comment>
    <comment ref="K28" authorId="1" shapeId="0" xr:uid="{31126A89-404F-4467-97AE-7819D1CF4049}">
      <text>
        <r>
          <rPr>
            <b/>
            <sz val="9"/>
            <color indexed="81"/>
            <rFont val="Tahoma"/>
            <family val="2"/>
          </rPr>
          <t>Stocker enterprise share of buildings and improvements repair expenses.</t>
        </r>
      </text>
    </comment>
    <comment ref="I29" authorId="1" shapeId="0" xr:uid="{E6A6ED45-A34F-4785-8BD5-9885079C14E7}">
      <text>
        <r>
          <rPr>
            <b/>
            <sz val="9"/>
            <color indexed="81"/>
            <rFont val="Tahoma"/>
            <family val="2"/>
          </rPr>
          <t>Average annual operating loan balance.</t>
        </r>
      </text>
    </comment>
    <comment ref="K29" authorId="1" shapeId="0" xr:uid="{BFA46821-C263-4CFB-BFB9-F8340679EBBC}">
      <text>
        <r>
          <rPr>
            <b/>
            <sz val="9"/>
            <color indexed="81"/>
            <rFont val="Tahoma"/>
            <family val="2"/>
          </rPr>
          <t>Interest rate on operating capital.</t>
        </r>
      </text>
    </comment>
    <comment ref="K37" authorId="1" shapeId="0" xr:uid="{F31E2E94-35F7-4720-B115-A8D94A865EF2}">
      <text>
        <r>
          <rPr>
            <b/>
            <sz val="9"/>
            <color indexed="81"/>
            <rFont val="Tahoma"/>
            <family val="2"/>
          </rPr>
          <t>Total annual property taxes and insurance expense.</t>
        </r>
      </text>
    </comment>
    <comment ref="K38" authorId="1" shapeId="0" xr:uid="{630E416C-7215-4F47-AEC2-2616D7C9793B}">
      <text>
        <r>
          <rPr>
            <b/>
            <sz val="9"/>
            <color indexed="81"/>
            <rFont val="Tahoma"/>
            <family val="2"/>
          </rPr>
          <t>General overhead costs. Examples may include indirect: labor, materials, utilities, and depreciation.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author>
  </authors>
  <commentList>
    <comment ref="K31" authorId="0" shapeId="0" xr:uid="{00000000-0006-0000-0300-000001000000}">
      <text>
        <r>
          <rPr>
            <b/>
            <sz val="9"/>
            <color indexed="81"/>
            <rFont val="Tahoma"/>
            <family val="2"/>
          </rPr>
          <t>Stocker enterprise share of machinery fuel, oil, and repair expenses.</t>
        </r>
      </text>
    </comment>
    <comment ref="K32" authorId="0" shapeId="0" xr:uid="{00000000-0006-0000-0300-000002000000}">
      <text>
        <r>
          <rPr>
            <b/>
            <sz val="9"/>
            <color indexed="81"/>
            <rFont val="Tahoma"/>
            <family val="2"/>
          </rPr>
          <t>Stocker enterprise share of vehicle fuel and repair expenses.</t>
        </r>
      </text>
    </comment>
    <comment ref="K33" authorId="0" shapeId="0" xr:uid="{00000000-0006-0000-0300-000003000000}">
      <text>
        <r>
          <rPr>
            <b/>
            <sz val="9"/>
            <color indexed="81"/>
            <rFont val="Tahoma"/>
            <family val="2"/>
          </rPr>
          <t>Stocker enterprise share of equipment repair expenses.</t>
        </r>
      </text>
    </comment>
    <comment ref="K34" authorId="0" shapeId="0" xr:uid="{00000000-0006-0000-0300-000004000000}">
      <text>
        <r>
          <rPr>
            <b/>
            <sz val="9"/>
            <color indexed="81"/>
            <rFont val="Tahoma"/>
            <family val="2"/>
          </rPr>
          <t>Stocker enterprise share of buildings and improvements repair expenses.</t>
        </r>
      </text>
    </comment>
    <comment ref="I35" authorId="0" shapeId="0" xr:uid="{00000000-0006-0000-0300-000005000000}">
      <text>
        <r>
          <rPr>
            <b/>
            <sz val="9"/>
            <color indexed="81"/>
            <rFont val="Tahoma"/>
            <family val="2"/>
          </rPr>
          <t>Average annual operating loan balance.</t>
        </r>
      </text>
    </comment>
    <comment ref="K35" authorId="0" shapeId="0" xr:uid="{00000000-0006-0000-0300-000006000000}">
      <text>
        <r>
          <rPr>
            <b/>
            <sz val="9"/>
            <color indexed="81"/>
            <rFont val="Tahoma"/>
            <family val="2"/>
          </rPr>
          <t>Interest rate on operating capital.</t>
        </r>
      </text>
    </comment>
    <comment ref="K44" authorId="0" shapeId="0" xr:uid="{78644CE1-3CE9-48CE-A9C1-4C2FA40593B3}">
      <text>
        <r>
          <rPr>
            <b/>
            <sz val="9"/>
            <color indexed="81"/>
            <rFont val="Tahoma"/>
            <family val="2"/>
          </rPr>
          <t>Annual depreciation on buildings, improvements, and equipment.</t>
        </r>
      </text>
    </comment>
    <comment ref="K45" authorId="0" shapeId="0" xr:uid="{00000000-0006-0000-0300-000007000000}">
      <text>
        <r>
          <rPr>
            <b/>
            <sz val="9"/>
            <color indexed="81"/>
            <rFont val="Tahoma"/>
            <family val="2"/>
          </rPr>
          <t>Total annual property taxes and insurance expense.</t>
        </r>
      </text>
    </comment>
    <comment ref="K46" authorId="0" shapeId="0" xr:uid="{00000000-0006-0000-0300-000008000000}">
      <text>
        <r>
          <rPr>
            <b/>
            <sz val="9"/>
            <color indexed="81"/>
            <rFont val="Tahoma"/>
            <family val="2"/>
          </rPr>
          <t>General overhead costs. Examples may include indirect: labor, materials, utilities, and depreciation.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author>
  </authors>
  <commentList>
    <comment ref="K27" authorId="0" shapeId="0" xr:uid="{1AF52748-D2DD-4860-A13E-20A260AAE0A0}">
      <text>
        <r>
          <rPr>
            <b/>
            <sz val="9"/>
            <color indexed="81"/>
            <rFont val="Tahoma"/>
            <family val="2"/>
          </rPr>
          <t>Stocker enterprise share of machinery fuel, oil, and repair expenses.</t>
        </r>
      </text>
    </comment>
    <comment ref="K28" authorId="0" shapeId="0" xr:uid="{3B048098-184F-4409-827B-630AFEBE12AF}">
      <text>
        <r>
          <rPr>
            <b/>
            <sz val="9"/>
            <color indexed="81"/>
            <rFont val="Tahoma"/>
            <family val="2"/>
          </rPr>
          <t>Stocker enterprise share of vehicle fuel and repair expenses.</t>
        </r>
      </text>
    </comment>
    <comment ref="K29" authorId="0" shapeId="0" xr:uid="{929C3BB0-6ED2-4DF5-BB17-A81C66CA8F1F}">
      <text>
        <r>
          <rPr>
            <b/>
            <sz val="9"/>
            <color indexed="81"/>
            <rFont val="Tahoma"/>
            <family val="2"/>
          </rPr>
          <t>Stocker enterprise share of equipment repair expenses.</t>
        </r>
      </text>
    </comment>
    <comment ref="K30" authorId="0" shapeId="0" xr:uid="{078D717F-286C-46A8-8CD5-A09EEC139D36}">
      <text>
        <r>
          <rPr>
            <b/>
            <sz val="9"/>
            <color indexed="81"/>
            <rFont val="Tahoma"/>
            <family val="2"/>
          </rPr>
          <t>Stocker enterprise share of buildings and improvements repair expenses.</t>
        </r>
      </text>
    </comment>
    <comment ref="I31" authorId="0" shapeId="0" xr:uid="{BC0B2BB3-1B16-4AC8-B9BF-16D740A52499}">
      <text>
        <r>
          <rPr>
            <b/>
            <sz val="9"/>
            <color indexed="81"/>
            <rFont val="Tahoma"/>
            <family val="2"/>
          </rPr>
          <t>Average annual operating loan balance.</t>
        </r>
      </text>
    </comment>
    <comment ref="K31" authorId="0" shapeId="0" xr:uid="{A0764C95-2565-40CB-85AF-BF6A9C2777D0}">
      <text>
        <r>
          <rPr>
            <b/>
            <sz val="9"/>
            <color indexed="81"/>
            <rFont val="Tahoma"/>
            <family val="2"/>
          </rPr>
          <t>Interest rate on operating capital.</t>
        </r>
      </text>
    </comment>
    <comment ref="K39" authorId="0" shapeId="0" xr:uid="{442EF281-25A5-4A5F-8D6C-F61F7625D816}">
      <text>
        <r>
          <rPr>
            <b/>
            <sz val="9"/>
            <color indexed="81"/>
            <rFont val="Tahoma"/>
            <family val="2"/>
          </rPr>
          <t>Total annual property taxes and insurance expense.</t>
        </r>
      </text>
    </comment>
    <comment ref="K40" authorId="0" shapeId="0" xr:uid="{D4958902-2044-4026-9395-455053A732DE}">
      <text>
        <r>
          <rPr>
            <b/>
            <sz val="9"/>
            <color indexed="81"/>
            <rFont val="Tahoma"/>
            <family val="2"/>
          </rPr>
          <t>General overhead costs. Examples may include indirect: labor, materials, utilities, and depreciation.</t>
        </r>
      </text>
    </comment>
  </commentList>
</comments>
</file>

<file path=xl/sharedStrings.xml><?xml version="1.0" encoding="utf-8"?>
<sst xmlns="http://schemas.openxmlformats.org/spreadsheetml/2006/main" count="380" uniqueCount="157">
  <si>
    <t>Unit</t>
  </si>
  <si>
    <t>Value or</t>
  </si>
  <si>
    <t>Price or</t>
  </si>
  <si>
    <t>Capital Recovery:</t>
  </si>
  <si>
    <t>Cost/Head</t>
  </si>
  <si>
    <t>Cost/Unit</t>
  </si>
  <si>
    <t>Each</t>
  </si>
  <si>
    <t>of Head</t>
  </si>
  <si>
    <t>Weight</t>
  </si>
  <si>
    <t>Total Number</t>
  </si>
  <si>
    <t>or Units</t>
  </si>
  <si>
    <t>Total</t>
  </si>
  <si>
    <t>Value</t>
  </si>
  <si>
    <t>lbs</t>
  </si>
  <si>
    <t>ton</t>
  </si>
  <si>
    <t>AUM</t>
  </si>
  <si>
    <t>head</t>
  </si>
  <si>
    <t>$</t>
  </si>
  <si>
    <t>hour</t>
  </si>
  <si>
    <t>TOTAL GROSS RETURNS</t>
  </si>
  <si>
    <t>GROSS RETURNS</t>
  </si>
  <si>
    <t>OPERATING COSTS</t>
  </si>
  <si>
    <t>TOTAL OPERATING COSTS</t>
  </si>
  <si>
    <t>NET RETURNS ABOVE OPERATING COSTS</t>
  </si>
  <si>
    <t>OWNERSHIP COSTS</t>
  </si>
  <si>
    <t>TOTAL OWNERSHIP COSTS</t>
  </si>
  <si>
    <t>TOTAL COSTS</t>
  </si>
  <si>
    <t>NET RETURNS ABOVE TOTAL COSTS</t>
  </si>
  <si>
    <t>Salt/Mineral</t>
  </si>
  <si>
    <t>Interest on Operating Capital</t>
  </si>
  <si>
    <t>Hired Labor</t>
  </si>
  <si>
    <t>Interest on Retained Livestock</t>
  </si>
  <si>
    <t>Taxes &amp; Insurance</t>
  </si>
  <si>
    <t>General Overhead</t>
  </si>
  <si>
    <t>Steer Calves</t>
  </si>
  <si>
    <t>Heifer Calves</t>
  </si>
  <si>
    <t>Cows</t>
  </si>
  <si>
    <t>Horses</t>
  </si>
  <si>
    <t>Cow death loss</t>
  </si>
  <si>
    <t>Calf crop</t>
  </si>
  <si>
    <t>Cow culling rate</t>
  </si>
  <si>
    <t>Heifer culling rate</t>
  </si>
  <si>
    <t>Machinery (Fuel, Oil, Repair)</t>
  </si>
  <si>
    <t>Vehicles (Fuel, Repair)</t>
  </si>
  <si>
    <t>Equipment (Repair)</t>
  </si>
  <si>
    <t>Owner Labor</t>
  </si>
  <si>
    <t xml:space="preserve">     Purchased Livestock </t>
  </si>
  <si>
    <t>NOTES</t>
  </si>
  <si>
    <t>No. of Cows:</t>
  </si>
  <si>
    <t>Buildings &amp; Improvements (Repair)</t>
  </si>
  <si>
    <t>Year:</t>
  </si>
  <si>
    <t xml:space="preserve">Cow-Calf Enterprise Budget </t>
  </si>
  <si>
    <r>
      <rPr>
        <b/>
        <sz val="14"/>
        <rFont val="Arial"/>
        <family val="2"/>
      </rPr>
      <t>&gt;</t>
    </r>
    <r>
      <rPr>
        <sz val="14"/>
        <rFont val="Arial"/>
        <family val="2"/>
      </rPr>
      <t xml:space="preserve"> Enter information in white cells.                 </t>
    </r>
    <r>
      <rPr>
        <b/>
        <sz val="14"/>
        <rFont val="Arial"/>
        <family val="2"/>
      </rPr>
      <t>&gt;</t>
    </r>
    <r>
      <rPr>
        <sz val="14"/>
        <rFont val="Arial"/>
        <family val="2"/>
      </rPr>
      <t xml:space="preserve"> Values in </t>
    </r>
    <r>
      <rPr>
        <sz val="14"/>
        <color rgb="FF0000CC"/>
        <rFont val="Arial"/>
        <family val="2"/>
      </rPr>
      <t>blue</t>
    </r>
    <r>
      <rPr>
        <sz val="14"/>
        <rFont val="Arial"/>
        <family val="2"/>
      </rPr>
      <t xml:space="preserve"> cells are calculated.                   </t>
    </r>
    <r>
      <rPr>
        <b/>
        <sz val="14"/>
        <rFont val="Arial"/>
        <family val="2"/>
      </rPr>
      <t>&gt;</t>
    </r>
    <r>
      <rPr>
        <sz val="14"/>
        <rFont val="Arial"/>
        <family val="2"/>
      </rPr>
      <t xml:space="preserve"> Click on cells with </t>
    </r>
    <r>
      <rPr>
        <sz val="14"/>
        <color rgb="FFFF0000"/>
        <rFont val="Arial"/>
        <family val="2"/>
      </rPr>
      <t>red</t>
    </r>
    <r>
      <rPr>
        <sz val="14"/>
        <rFont val="Arial"/>
        <family val="2"/>
      </rPr>
      <t xml:space="preserve"> in the corner for explanations. </t>
    </r>
  </si>
  <si>
    <t>INSTRUCTIONS</t>
  </si>
  <si>
    <t>Trucking to &amp; from Pasture</t>
  </si>
  <si>
    <t>Trucking to Market</t>
  </si>
  <si>
    <t>Private Range (7 months per head)</t>
  </si>
  <si>
    <t xml:space="preserve">Years </t>
  </si>
  <si>
    <t>Salvage</t>
  </si>
  <si>
    <t xml:space="preserve">Discount </t>
  </si>
  <si>
    <t>Capital</t>
  </si>
  <si>
    <t>Item</t>
  </si>
  <si>
    <t>Cost</t>
  </si>
  <si>
    <t>of Life</t>
  </si>
  <si>
    <t>Rate</t>
  </si>
  <si>
    <t>Recovery</t>
  </si>
  <si>
    <t xml:space="preserve"> (n)</t>
  </si>
  <si>
    <t>($/head)</t>
  </si>
  <si>
    <t>(i)</t>
  </si>
  <si>
    <t>Factor</t>
  </si>
  <si>
    <t>Total:</t>
  </si>
  <si>
    <t>Total Capital Costs</t>
  </si>
  <si>
    <t>Capital Costs per Head</t>
  </si>
  <si>
    <t>Average Capital Costs (Purchase - Salvage Value)/2</t>
  </si>
  <si>
    <t>Average Capital Costs per Head</t>
  </si>
  <si>
    <t>Total Capital Recovery Costs</t>
  </si>
  <si>
    <t>Capital Recovery Costs per Head</t>
  </si>
  <si>
    <t>Fencing, 40-ac pasture, 1 mi perimeter</t>
  </si>
  <si>
    <t>Working Corrals &amp; Pens</t>
  </si>
  <si>
    <t>Vet Equipment</t>
  </si>
  <si>
    <t>Hay Shed &amp; Barn</t>
  </si>
  <si>
    <t>Buildings, Improvements, &amp; Equipment:</t>
  </si>
  <si>
    <t>Machinery and Vehicles:</t>
  </si>
  <si>
    <t>Tractor Loader</t>
  </si>
  <si>
    <t>Pickup, 4x4, 3/4 ton</t>
  </si>
  <si>
    <t>4-wheeler</t>
  </si>
  <si>
    <t>Beef Replacement Heifers</t>
  </si>
  <si>
    <t>Beef Cows</t>
  </si>
  <si>
    <t xml:space="preserve">     Buildings &amp; Improvements &amp; Equipment</t>
  </si>
  <si>
    <t xml:space="preserve">     Machinery and Vehicles</t>
  </si>
  <si>
    <t>Head:</t>
  </si>
  <si>
    <t>Value:</t>
  </si>
  <si>
    <t>Retained Livestock Investment</t>
  </si>
  <si>
    <t>Veterinary/Medicine</t>
  </si>
  <si>
    <t>Steer finish weight</t>
  </si>
  <si>
    <t>Cull Cows</t>
  </si>
  <si>
    <t>Cull Bulls</t>
  </si>
  <si>
    <t>Cull Replacement Heifers</t>
  </si>
  <si>
    <t>Steer Calves Purchased</t>
  </si>
  <si>
    <t>Gross</t>
  </si>
  <si>
    <t>Returns</t>
  </si>
  <si>
    <t>Operating</t>
  </si>
  <si>
    <t>Costs</t>
  </si>
  <si>
    <t>Net Returns</t>
  </si>
  <si>
    <t>over</t>
  </si>
  <si>
    <t>Oper. Costs</t>
  </si>
  <si>
    <t>Ownership</t>
  </si>
  <si>
    <t xml:space="preserve">Total </t>
  </si>
  <si>
    <t>Total Costs</t>
  </si>
  <si>
    <t>$/head</t>
  </si>
  <si>
    <t>No. Yearlings:</t>
  </si>
  <si>
    <t>Death Loss (based on 1% of purchase price)</t>
  </si>
  <si>
    <t>%</t>
  </si>
  <si>
    <t>Death loss cost</t>
  </si>
  <si>
    <t>Checkoff/Brand Inspection</t>
  </si>
  <si>
    <t>Kill fee, USDA Inspected Plant</t>
  </si>
  <si>
    <t>Wrap fee</t>
  </si>
  <si>
    <t>Marketing (advertisement, website)</t>
  </si>
  <si>
    <t>Cold storage</t>
  </si>
  <si>
    <t>year</t>
  </si>
  <si>
    <t>Average</t>
  </si>
  <si>
    <t>Steer carcass yield,</t>
  </si>
  <si>
    <t>liveweight to packed</t>
  </si>
  <si>
    <t xml:space="preserve">Grass Finished, Boxed Beef Enterprise Budget </t>
  </si>
  <si>
    <t>Western Washington - Summer on Private Pasture - Winter Feeding Necessary - Owned Bulls</t>
  </si>
  <si>
    <r>
      <rPr>
        <sz val="14"/>
        <rFont val="Arial"/>
        <family val="2"/>
      </rPr>
      <t xml:space="preserve">Enter information in white cells.                          Values in </t>
    </r>
    <r>
      <rPr>
        <sz val="14"/>
        <color rgb="FF0000CC"/>
        <rFont val="Arial"/>
        <family val="2"/>
      </rPr>
      <t>blue</t>
    </r>
    <r>
      <rPr>
        <sz val="14"/>
        <rFont val="Arial"/>
        <family val="2"/>
      </rPr>
      <t xml:space="preserve"> cells are calculated.                      Click on cells with </t>
    </r>
    <r>
      <rPr>
        <sz val="14"/>
        <color rgb="FFFF0000"/>
        <rFont val="Arial"/>
        <family val="2"/>
      </rPr>
      <t>red</t>
    </r>
    <r>
      <rPr>
        <sz val="14"/>
        <rFont val="Arial"/>
        <family val="2"/>
      </rPr>
      <t xml:space="preserve"> in the corner for explanations. </t>
    </r>
    <r>
      <rPr>
        <sz val="14"/>
        <color rgb="FF0000CC"/>
        <rFont val="Arial"/>
        <family val="2"/>
      </rPr>
      <t xml:space="preserve">                                                      Prices in yellow cells can be changed.</t>
    </r>
  </si>
  <si>
    <t>Bulls</t>
  </si>
  <si>
    <t>Investment Summary, 50-head beef cow operation in Western Washington</t>
  </si>
  <si>
    <t xml:space="preserve">Grass Finished, Locker Beef Enterprise Budget </t>
  </si>
  <si>
    <t>Owner Labor (2 hour per day for 12 months)</t>
  </si>
  <si>
    <t>Commission on culled cows</t>
  </si>
  <si>
    <t>Checkoff/Brand Inspection (for all calves sold + culls)</t>
  </si>
  <si>
    <t>Stock trailer</t>
  </si>
  <si>
    <t xml:space="preserve">Trucking to &amp; from Pasture </t>
  </si>
  <si>
    <t>Owner Labor (1 hour per day)</t>
  </si>
  <si>
    <t>Growing Phase, 24 head</t>
  </si>
  <si>
    <t>Western Washington - Yearling Budget, Private Pasture - 550 lb to 800 lb</t>
  </si>
  <si>
    <t>Alfalfa/Grass Hay (24 lb per head per day)</t>
  </si>
  <si>
    <t>Private Range (4 months per head)</t>
  </si>
  <si>
    <t>Alfalfa/Grass Hay (15 lb per head per day)</t>
  </si>
  <si>
    <t>Alfalfa/Grass Hay (24 lb per head per day for 4 months)</t>
  </si>
  <si>
    <t>Cold Storage</t>
  </si>
  <si>
    <t>Investment Summary, 24-head USDA-inspected steer finishing operation in Western Washington</t>
  </si>
  <si>
    <t xml:space="preserve">     Cold Storage Facility</t>
  </si>
  <si>
    <t>Finished Carcasses Sold</t>
  </si>
  <si>
    <t>Western Washington - Yearling to Finished Phase, Private Pasture - 800 lb to 1150 lb</t>
  </si>
  <si>
    <t>Average returns, locker beef finished steers</t>
  </si>
  <si>
    <t>Annual returns, USDA inspected finished steers</t>
  </si>
  <si>
    <t>Alfalfa/Grass Hay (40 cows, 10 replacement heifers, 2 bulls)</t>
  </si>
  <si>
    <t>Grass-Finished Steers Enterprise Budgets</t>
  </si>
  <si>
    <t>YEAR 1: Yearling Budget</t>
  </si>
  <si>
    <t>YEAR 2A: Long Yearling to Finished Steer USDA Inspected</t>
  </si>
  <si>
    <t>PHASE 2B: Long Yearling to Finished Steer Locker Beef</t>
  </si>
  <si>
    <t>Finishing Phase, 24 head</t>
  </si>
  <si>
    <t>Steers are sold to private parties as live animals, delivered to butcher</t>
  </si>
  <si>
    <t>Assumes a 40% liveweight to packaged product, $9/lb average</t>
  </si>
  <si>
    <t>This budget assumes that steer calves are marketed at 1150 lb, approximately 24 months old, either as locker beef sold as hanging weight or USDA inspected meat sold by the cut, averaging $9 per 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</si>
</sst>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
  </numFmts>
  <fonts count="28" x14ac:knownFonts="1">
    <font>
      <sz val="12"/>
      <color theme="1"/>
      <name val="Times New Roman"/>
      <family val="2"/>
    </font>
    <font>
      <sz val="11"/>
      <color theme="1"/>
      <name val="Calibri"/>
      <family val="2"/>
      <scheme val="minor"/>
    </font>
    <font>
      <sz val="12"/>
      <color theme="1"/>
      <name val="Times New Roman"/>
      <family val="2"/>
    </font>
    <font>
      <sz val="14"/>
      <color theme="1"/>
      <name val="Arial"/>
      <family val="2"/>
    </font>
    <font>
      <b/>
      <sz val="14"/>
      <color theme="1"/>
      <name val="Arial"/>
      <family val="2"/>
    </font>
    <font>
      <b/>
      <sz val="14"/>
      <name val="Arial"/>
      <family val="2"/>
    </font>
    <font>
      <sz val="10"/>
      <name val="Arial"/>
      <family val="2"/>
    </font>
    <font>
      <sz val="14"/>
      <name val="Arial"/>
      <family val="2"/>
    </font>
    <font>
      <sz val="14"/>
      <color indexed="10"/>
      <name val="Arial"/>
      <family val="2"/>
    </font>
    <font>
      <u/>
      <sz val="14"/>
      <name val="Arial"/>
      <family val="2"/>
    </font>
    <font>
      <sz val="14"/>
      <color rgb="FFFF0000"/>
      <name val="Arial"/>
      <family val="2"/>
    </font>
    <font>
      <b/>
      <sz val="20"/>
      <name val="Arial"/>
      <family val="2"/>
    </font>
    <font>
      <sz val="14"/>
      <color rgb="FF0000CC"/>
      <name val="Arial"/>
      <family val="2"/>
    </font>
    <font>
      <b/>
      <sz val="14"/>
      <color rgb="FF0000CC"/>
      <name val="Arial"/>
      <family val="2"/>
    </font>
    <font>
      <b/>
      <sz val="9"/>
      <color indexed="81"/>
      <name val="Tahoma"/>
      <family val="2"/>
    </font>
    <font>
      <b/>
      <sz val="12"/>
      <name val="Arial"/>
      <family val="2"/>
    </font>
    <font>
      <b/>
      <sz val="15"/>
      <color theme="3"/>
      <name val="Calibri"/>
      <family val="2"/>
      <scheme val="minor"/>
    </font>
    <font>
      <b/>
      <sz val="11"/>
      <color theme="1"/>
      <name val="Calibri"/>
      <family val="2"/>
      <scheme val="minor"/>
    </font>
    <font>
      <b/>
      <sz val="14"/>
      <color theme="3"/>
      <name val="Calibri"/>
      <family val="2"/>
      <scheme val="minor"/>
    </font>
    <font>
      <sz val="12"/>
      <name val="Calibri"/>
      <family val="2"/>
      <scheme val="minor"/>
    </font>
    <font>
      <sz val="12"/>
      <color theme="1"/>
      <name val="Calibri"/>
      <family val="2"/>
      <scheme val="minor"/>
    </font>
    <font>
      <b/>
      <sz val="11"/>
      <name val="Calibri"/>
      <family val="2"/>
      <scheme val="minor"/>
    </font>
    <font>
      <sz val="11"/>
      <name val="Calibri"/>
      <family val="2"/>
      <scheme val="minor"/>
    </font>
    <font>
      <b/>
      <i/>
      <sz val="11"/>
      <color theme="1"/>
      <name val="Calibri"/>
      <family val="2"/>
      <scheme val="minor"/>
    </font>
    <font>
      <u/>
      <sz val="12"/>
      <color theme="10"/>
      <name val="Times New Roman"/>
      <family val="2"/>
    </font>
    <font>
      <b/>
      <sz val="16"/>
      <name val="Arial"/>
      <family val="2"/>
    </font>
    <font>
      <sz val="12"/>
      <color theme="10"/>
      <name val="Times New Roman"/>
      <family val="1"/>
    </font>
    <font>
      <sz val="12"/>
      <name val="Arial"/>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41"/>
        <bgColor indexed="64"/>
      </patternFill>
    </fill>
    <fill>
      <patternFill patternType="solid">
        <fgColor indexed="42"/>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23">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s>
  <cellStyleXfs count="10">
    <xf numFmtId="0" fontId="0" fillId="0" borderId="0"/>
    <xf numFmtId="43" fontId="2"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9" fontId="2" fillId="0" borderId="0" applyFont="0" applyFill="0" applyBorder="0" applyAlignment="0" applyProtection="0"/>
    <xf numFmtId="0" fontId="16" fillId="0" borderId="22" applyNumberFormat="0" applyFill="0" applyAlignment="0" applyProtection="0"/>
    <xf numFmtId="44" fontId="2" fillId="0" borderId="0" applyFont="0" applyFill="0" applyBorder="0" applyAlignment="0" applyProtection="0"/>
    <xf numFmtId="0" fontId="24" fillId="0" borderId="0" applyNumberFormat="0" applyFill="0" applyBorder="0" applyAlignment="0" applyProtection="0"/>
  </cellStyleXfs>
  <cellXfs count="311">
    <xf numFmtId="0" fontId="0" fillId="0" borderId="0" xfId="0"/>
    <xf numFmtId="0" fontId="7" fillId="0" borderId="10" xfId="2" applyFont="1" applyBorder="1" applyAlignment="1" applyProtection="1">
      <alignment vertical="center"/>
      <protection locked="0"/>
    </xf>
    <xf numFmtId="1" fontId="7" fillId="0" borderId="9" xfId="2" applyNumberFormat="1"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39" fontId="3" fillId="0" borderId="9" xfId="3" applyNumberFormat="1" applyFont="1" applyBorder="1" applyAlignment="1" applyProtection="1">
      <alignment horizontal="right" vertical="center"/>
      <protection locked="0"/>
    </xf>
    <xf numFmtId="0" fontId="7" fillId="0" borderId="9" xfId="2" applyFont="1" applyBorder="1" applyAlignment="1" applyProtection="1">
      <alignment vertical="center"/>
      <protection locked="0"/>
    </xf>
    <xf numFmtId="3" fontId="7" fillId="0" borderId="9" xfId="2" applyNumberFormat="1" applyFont="1" applyBorder="1" applyAlignment="1" applyProtection="1">
      <alignment horizontal="center" vertical="center"/>
      <protection locked="0"/>
    </xf>
    <xf numFmtId="4" fontId="7" fillId="0" borderId="9" xfId="1" applyNumberFormat="1" applyFont="1" applyBorder="1" applyAlignment="1" applyProtection="1">
      <alignment horizontal="right" vertical="center"/>
      <protection locked="0"/>
    </xf>
    <xf numFmtId="3" fontId="7" fillId="0" borderId="21" xfId="2" applyNumberFormat="1" applyFont="1" applyBorder="1" applyAlignment="1" applyProtection="1">
      <alignment horizontal="center" vertical="center"/>
      <protection locked="0"/>
    </xf>
    <xf numFmtId="4" fontId="7" fillId="0" borderId="21" xfId="1" applyNumberFormat="1" applyFont="1" applyBorder="1" applyAlignment="1" applyProtection="1">
      <alignment horizontal="right" vertical="center"/>
      <protection locked="0"/>
    </xf>
    <xf numFmtId="4" fontId="7" fillId="0" borderId="10" xfId="1" applyNumberFormat="1" applyFont="1" applyBorder="1" applyAlignment="1" applyProtection="1">
      <alignment horizontal="right" vertical="center"/>
      <protection locked="0"/>
    </xf>
    <xf numFmtId="166" fontId="7" fillId="0" borderId="9" xfId="2" applyNumberFormat="1" applyFont="1" applyBorder="1" applyAlignment="1" applyProtection="1">
      <alignment horizontal="center" vertical="center"/>
      <protection locked="0"/>
    </xf>
    <xf numFmtId="10" fontId="3" fillId="0" borderId="9" xfId="6" applyNumberFormat="1" applyFont="1" applyBorder="1" applyAlignment="1" applyProtection="1">
      <alignment horizontal="right" vertical="center"/>
      <protection locked="0"/>
    </xf>
    <xf numFmtId="164" fontId="7" fillId="0" borderId="9" xfId="1" applyNumberFormat="1" applyFont="1" applyBorder="1" applyAlignment="1" applyProtection="1">
      <alignment horizontal="center" vertical="center"/>
      <protection locked="0"/>
    </xf>
    <xf numFmtId="10" fontId="7" fillId="0" borderId="9" xfId="6" applyNumberFormat="1" applyFont="1" applyBorder="1" applyAlignment="1" applyProtection="1">
      <alignment horizontal="right" vertical="center"/>
      <protection locked="0"/>
    </xf>
    <xf numFmtId="0" fontId="5" fillId="3" borderId="0" xfId="2" applyFont="1" applyFill="1" applyBorder="1" applyAlignment="1" applyProtection="1">
      <alignment vertical="center"/>
    </xf>
    <xf numFmtId="0" fontId="5" fillId="3" borderId="0" xfId="2" applyFont="1" applyFill="1" applyBorder="1" applyAlignment="1" applyProtection="1">
      <alignment horizontal="left" vertical="center"/>
    </xf>
    <xf numFmtId="165" fontId="5" fillId="3" borderId="3" xfId="2" applyNumberFormat="1" applyFont="1" applyFill="1" applyBorder="1" applyAlignment="1" applyProtection="1">
      <alignment horizontal="left" vertical="center"/>
    </xf>
    <xf numFmtId="0" fontId="7" fillId="3" borderId="0" xfId="2" applyFont="1" applyFill="1" applyBorder="1" applyAlignment="1" applyProtection="1">
      <alignment vertical="center"/>
    </xf>
    <xf numFmtId="0" fontId="7" fillId="2" borderId="0" xfId="2" applyFont="1" applyFill="1" applyAlignment="1" applyProtection="1">
      <alignment vertical="center"/>
    </xf>
    <xf numFmtId="0" fontId="7" fillId="2" borderId="0" xfId="2" applyFont="1" applyFill="1" applyAlignment="1" applyProtection="1">
      <alignment horizontal="center" vertical="center"/>
    </xf>
    <xf numFmtId="0" fontId="7" fillId="2" borderId="0" xfId="2" applyFont="1" applyFill="1" applyBorder="1" applyAlignment="1" applyProtection="1">
      <alignment vertical="center"/>
    </xf>
    <xf numFmtId="0" fontId="7" fillId="3" borderId="11" xfId="2" applyFont="1" applyFill="1" applyBorder="1" applyAlignment="1" applyProtection="1">
      <alignment vertical="center"/>
    </xf>
    <xf numFmtId="0" fontId="7" fillId="3" borderId="1" xfId="2" applyFont="1" applyFill="1" applyBorder="1" applyAlignment="1" applyProtection="1">
      <alignment vertical="center"/>
    </xf>
    <xf numFmtId="0" fontId="7" fillId="3" borderId="1" xfId="2" applyFont="1" applyFill="1" applyBorder="1" applyAlignment="1" applyProtection="1">
      <alignment horizontal="center" vertical="center"/>
    </xf>
    <xf numFmtId="0" fontId="7" fillId="0" borderId="0" xfId="2" applyFont="1" applyBorder="1" applyAlignment="1" applyProtection="1">
      <alignment vertical="center"/>
    </xf>
    <xf numFmtId="0" fontId="12" fillId="2" borderId="0" xfId="2" applyFont="1" applyFill="1" applyBorder="1" applyAlignment="1" applyProtection="1">
      <alignment vertical="top" wrapText="1"/>
    </xf>
    <xf numFmtId="0" fontId="7" fillId="0" borderId="0" xfId="2" applyFont="1" applyAlignment="1" applyProtection="1">
      <alignment vertical="center"/>
    </xf>
    <xf numFmtId="0" fontId="7" fillId="3" borderId="13" xfId="2" applyFont="1" applyFill="1" applyBorder="1" applyAlignment="1" applyProtection="1">
      <alignment vertical="center"/>
    </xf>
    <xf numFmtId="0" fontId="5" fillId="3" borderId="13" xfId="2" applyFont="1" applyFill="1" applyBorder="1" applyAlignment="1" applyProtection="1">
      <alignment vertical="center"/>
    </xf>
    <xf numFmtId="0" fontId="5" fillId="2" borderId="0" xfId="2" applyFont="1" applyFill="1" applyBorder="1" applyAlignment="1" applyProtection="1">
      <alignment horizontal="left" vertical="center"/>
    </xf>
    <xf numFmtId="0" fontId="7" fillId="3" borderId="15" xfId="2" applyFont="1" applyFill="1" applyBorder="1" applyAlignment="1" applyProtection="1">
      <alignment vertical="center"/>
    </xf>
    <xf numFmtId="0" fontId="7" fillId="3" borderId="2" xfId="2" applyFont="1" applyFill="1" applyBorder="1" applyAlignment="1" applyProtection="1">
      <alignment horizontal="center" vertical="center"/>
    </xf>
    <xf numFmtId="165" fontId="5" fillId="3" borderId="5" xfId="2" applyNumberFormat="1" applyFont="1" applyFill="1" applyBorder="1" applyAlignment="1" applyProtection="1">
      <alignment horizontal="left" vertical="center"/>
    </xf>
    <xf numFmtId="1" fontId="5" fillId="3" borderId="5" xfId="2" applyNumberFormat="1" applyFont="1" applyFill="1" applyBorder="1" applyAlignment="1" applyProtection="1">
      <alignment horizontal="center" vertical="center"/>
    </xf>
    <xf numFmtId="165" fontId="8" fillId="3" borderId="5" xfId="2" applyNumberFormat="1" applyFont="1" applyFill="1" applyBorder="1" applyAlignment="1" applyProtection="1">
      <alignment horizontal="center" vertical="center"/>
    </xf>
    <xf numFmtId="165" fontId="5" fillId="3" borderId="5" xfId="2" applyNumberFormat="1" applyFont="1" applyFill="1" applyBorder="1" applyAlignment="1" applyProtection="1">
      <alignment horizontal="center" vertical="center"/>
    </xf>
    <xf numFmtId="165" fontId="8" fillId="2" borderId="0" xfId="2" applyNumberFormat="1" applyFont="1" applyFill="1" applyBorder="1" applyAlignment="1" applyProtection="1">
      <alignment horizontal="center" vertical="center"/>
    </xf>
    <xf numFmtId="165" fontId="5" fillId="3" borderId="0" xfId="2" applyNumberFormat="1" applyFont="1" applyFill="1" applyBorder="1" applyAlignment="1" applyProtection="1">
      <alignment horizontal="left" vertical="center"/>
    </xf>
    <xf numFmtId="165" fontId="5" fillId="3" borderId="0" xfId="2" applyNumberFormat="1" applyFont="1" applyFill="1" applyBorder="1" applyAlignment="1" applyProtection="1">
      <alignment horizontal="center" vertical="center"/>
    </xf>
    <xf numFmtId="165" fontId="5" fillId="2" borderId="0" xfId="2" applyNumberFormat="1" applyFont="1" applyFill="1" applyBorder="1" applyAlignment="1" applyProtection="1">
      <alignment horizontal="center" vertical="center"/>
    </xf>
    <xf numFmtId="1" fontId="5" fillId="3" borderId="3" xfId="2" applyNumberFormat="1" applyFont="1" applyFill="1" applyBorder="1" applyAlignment="1" applyProtection="1">
      <alignment horizontal="center" vertical="center"/>
    </xf>
    <xf numFmtId="0" fontId="7" fillId="2" borderId="0" xfId="2" applyFont="1" applyFill="1" applyBorder="1" applyAlignment="1" applyProtection="1">
      <alignment vertical="center" wrapText="1"/>
    </xf>
    <xf numFmtId="0" fontId="5" fillId="3" borderId="8" xfId="2" applyFont="1" applyFill="1" applyBorder="1" applyAlignment="1" applyProtection="1">
      <alignment vertical="center"/>
    </xf>
    <xf numFmtId="0" fontId="5" fillId="3" borderId="1" xfId="2" applyFont="1" applyFill="1" applyBorder="1" applyAlignment="1" applyProtection="1">
      <alignment vertical="center"/>
    </xf>
    <xf numFmtId="0" fontId="7" fillId="3" borderId="0" xfId="2" applyFont="1" applyFill="1" applyBorder="1" applyAlignment="1" applyProtection="1">
      <alignment horizontal="center" vertical="center"/>
    </xf>
    <xf numFmtId="2" fontId="7" fillId="3" borderId="0" xfId="2" applyNumberFormat="1" applyFont="1" applyFill="1" applyBorder="1" applyAlignment="1" applyProtection="1">
      <alignment vertical="center"/>
    </xf>
    <xf numFmtId="39" fontId="3" fillId="3" borderId="0" xfId="3" applyNumberFormat="1" applyFont="1" applyFill="1" applyBorder="1" applyAlignment="1" applyProtection="1">
      <alignment vertical="center"/>
    </xf>
    <xf numFmtId="39" fontId="3" fillId="2" borderId="0" xfId="3" applyNumberFormat="1" applyFont="1" applyFill="1" applyBorder="1" applyAlignment="1" applyProtection="1">
      <alignment vertical="center"/>
    </xf>
    <xf numFmtId="0" fontId="7" fillId="3" borderId="3" xfId="2" applyFont="1" applyFill="1" applyBorder="1" applyAlignment="1" applyProtection="1">
      <alignment vertical="center"/>
    </xf>
    <xf numFmtId="0" fontId="7" fillId="3" borderId="3" xfId="2" applyFont="1" applyFill="1" applyBorder="1" applyAlignment="1" applyProtection="1">
      <alignment horizontal="center" vertical="center"/>
    </xf>
    <xf numFmtId="0" fontId="7" fillId="3" borderId="17" xfId="2" applyFont="1" applyFill="1" applyBorder="1" applyAlignment="1" applyProtection="1">
      <alignment vertical="center"/>
    </xf>
    <xf numFmtId="0" fontId="7" fillId="0" borderId="0" xfId="2" applyFont="1" applyAlignment="1" applyProtection="1">
      <alignment horizontal="center" vertical="center"/>
    </xf>
    <xf numFmtId="0" fontId="7" fillId="2" borderId="11" xfId="2" applyFont="1" applyFill="1" applyBorder="1" applyAlignment="1" applyProtection="1">
      <alignment vertical="center"/>
      <protection locked="0"/>
    </xf>
    <xf numFmtId="0" fontId="7" fillId="2" borderId="13" xfId="2" applyFont="1" applyFill="1" applyBorder="1" applyAlignment="1" applyProtection="1">
      <alignment vertical="center"/>
      <protection locked="0"/>
    </xf>
    <xf numFmtId="9" fontId="7" fillId="2" borderId="13" xfId="2" applyNumberFormat="1" applyFont="1" applyFill="1" applyBorder="1" applyAlignment="1" applyProtection="1">
      <alignment vertical="center"/>
      <protection locked="0"/>
    </xf>
    <xf numFmtId="9" fontId="7" fillId="2" borderId="17" xfId="2" applyNumberFormat="1" applyFont="1" applyFill="1" applyBorder="1" applyAlignment="1" applyProtection="1">
      <alignment vertical="center"/>
      <protection locked="0"/>
    </xf>
    <xf numFmtId="0" fontId="7" fillId="2" borderId="12" xfId="2" applyFont="1" applyFill="1" applyBorder="1" applyAlignment="1" applyProtection="1">
      <alignment vertical="center"/>
      <protection locked="0"/>
    </xf>
    <xf numFmtId="0" fontId="7" fillId="2" borderId="14" xfId="2" applyFont="1" applyFill="1" applyBorder="1" applyAlignment="1" applyProtection="1">
      <alignment vertical="center"/>
      <protection locked="0"/>
    </xf>
    <xf numFmtId="0" fontId="7" fillId="2" borderId="18" xfId="2" applyFont="1" applyFill="1" applyBorder="1" applyAlignment="1" applyProtection="1">
      <alignment vertical="center"/>
      <protection locked="0"/>
    </xf>
    <xf numFmtId="0" fontId="11" fillId="3" borderId="0" xfId="2" applyFont="1" applyFill="1" applyBorder="1" applyAlignment="1" applyProtection="1">
      <alignment horizontal="center" vertical="center"/>
    </xf>
    <xf numFmtId="0" fontId="7" fillId="3" borderId="2" xfId="2" applyFont="1" applyFill="1" applyBorder="1" applyAlignment="1" applyProtection="1">
      <alignment vertical="center"/>
    </xf>
    <xf numFmtId="0" fontId="19" fillId="5" borderId="5" xfId="0" applyFont="1" applyFill="1" applyBorder="1"/>
    <xf numFmtId="0" fontId="19" fillId="5" borderId="5" xfId="0" applyFont="1" applyFill="1" applyBorder="1" applyAlignment="1">
      <alignment horizontal="center"/>
    </xf>
    <xf numFmtId="0" fontId="19" fillId="6" borderId="5" xfId="0" applyFont="1" applyFill="1" applyBorder="1" applyAlignment="1">
      <alignment horizontal="center"/>
    </xf>
    <xf numFmtId="0" fontId="20" fillId="7" borderId="5" xfId="0" applyFont="1" applyFill="1" applyBorder="1"/>
    <xf numFmtId="166" fontId="19" fillId="6" borderId="5" xfId="0" applyNumberFormat="1" applyFont="1" applyFill="1" applyBorder="1" applyAlignment="1">
      <alignment horizontal="center"/>
    </xf>
    <xf numFmtId="10" fontId="19" fillId="6" borderId="5" xfId="6" applyNumberFormat="1" applyFont="1" applyFill="1" applyBorder="1" applyAlignment="1">
      <alignment horizontal="center"/>
    </xf>
    <xf numFmtId="167" fontId="19" fillId="6" borderId="5" xfId="0" applyNumberFormat="1" applyFont="1" applyFill="1" applyBorder="1" applyAlignment="1">
      <alignment horizontal="center"/>
    </xf>
    <xf numFmtId="0" fontId="20" fillId="0" borderId="0" xfId="0" applyFont="1"/>
    <xf numFmtId="0" fontId="20" fillId="5" borderId="2" xfId="0" applyFont="1" applyFill="1" applyBorder="1" applyAlignment="1">
      <alignment horizontal="center"/>
    </xf>
    <xf numFmtId="0" fontId="20" fillId="5" borderId="2" xfId="0" applyFont="1" applyFill="1" applyBorder="1"/>
    <xf numFmtId="0" fontId="20" fillId="6" borderId="2" xfId="0" applyFont="1" applyFill="1" applyBorder="1"/>
    <xf numFmtId="0" fontId="20" fillId="7" borderId="2" xfId="0" applyFont="1" applyFill="1" applyBorder="1"/>
    <xf numFmtId="0" fontId="19" fillId="6" borderId="2" xfId="0" applyFont="1" applyFill="1" applyBorder="1" applyAlignment="1">
      <alignment horizontal="center"/>
    </xf>
    <xf numFmtId="166" fontId="19" fillId="6" borderId="2" xfId="0" applyNumberFormat="1" applyFont="1" applyFill="1" applyBorder="1" applyAlignment="1">
      <alignment horizontal="center"/>
    </xf>
    <xf numFmtId="10" fontId="19" fillId="6" borderId="2" xfId="6" applyNumberFormat="1" applyFont="1" applyFill="1" applyBorder="1" applyAlignment="1">
      <alignment horizontal="center"/>
    </xf>
    <xf numFmtId="167" fontId="19" fillId="6" borderId="2" xfId="0" applyNumberFormat="1" applyFont="1" applyFill="1" applyBorder="1" applyAlignment="1">
      <alignment horizontal="center"/>
    </xf>
    <xf numFmtId="0" fontId="21" fillId="5" borderId="0" xfId="0" applyFont="1" applyFill="1"/>
    <xf numFmtId="0" fontId="22" fillId="0" borderId="0" xfId="0" applyFont="1" applyProtection="1">
      <protection locked="0"/>
    </xf>
    <xf numFmtId="167" fontId="23" fillId="8" borderId="0" xfId="0" applyNumberFormat="1" applyFont="1" applyFill="1" applyAlignment="1">
      <alignment horizontal="right"/>
    </xf>
    <xf numFmtId="165" fontId="17" fillId="8" borderId="0" xfId="0" applyNumberFormat="1" applyFont="1" applyFill="1" applyAlignment="1">
      <alignment horizontal="right" indent="1"/>
    </xf>
    <xf numFmtId="0" fontId="21" fillId="9" borderId="0" xfId="0" applyFont="1" applyFill="1" applyProtection="1">
      <protection locked="0"/>
    </xf>
    <xf numFmtId="0" fontId="0" fillId="2" borderId="0" xfId="0" applyFill="1"/>
    <xf numFmtId="0" fontId="0" fillId="2" borderId="0" xfId="0" applyFill="1" applyAlignment="1">
      <alignment horizontal="center"/>
    </xf>
    <xf numFmtId="166" fontId="0" fillId="2" borderId="0" xfId="0" applyNumberFormat="1" applyFill="1" applyAlignment="1">
      <alignment horizontal="center"/>
    </xf>
    <xf numFmtId="167" fontId="0" fillId="2" borderId="0" xfId="0" applyNumberFormat="1" applyFill="1"/>
    <xf numFmtId="0" fontId="0" fillId="2" borderId="0" xfId="0" applyFill="1" applyAlignment="1">
      <alignment horizontal="right" indent="1"/>
    </xf>
    <xf numFmtId="0" fontId="0" fillId="0" borderId="0" xfId="0" applyAlignment="1">
      <alignment horizontal="center"/>
    </xf>
    <xf numFmtId="166" fontId="0" fillId="0" borderId="0" xfId="0" applyNumberFormat="1" applyAlignment="1">
      <alignment horizontal="center"/>
    </xf>
    <xf numFmtId="167" fontId="0" fillId="0" borderId="0" xfId="0" applyNumberFormat="1"/>
    <xf numFmtId="0" fontId="0" fillId="0" borderId="0" xfId="0" applyAlignment="1">
      <alignment horizontal="right" indent="1"/>
    </xf>
    <xf numFmtId="166" fontId="0" fillId="0" borderId="0" xfId="0" applyNumberFormat="1"/>
    <xf numFmtId="0" fontId="11" fillId="3" borderId="0" xfId="2" applyFont="1" applyFill="1" applyBorder="1" applyAlignment="1" applyProtection="1">
      <alignment horizontal="center" vertical="center"/>
    </xf>
    <xf numFmtId="0" fontId="12" fillId="2" borderId="0" xfId="2" applyFont="1" applyFill="1" applyBorder="1" applyAlignment="1" applyProtection="1">
      <alignment horizontal="left" vertical="top" wrapText="1"/>
    </xf>
    <xf numFmtId="0" fontId="7" fillId="3" borderId="2" xfId="2" applyFont="1" applyFill="1" applyBorder="1" applyAlignment="1" applyProtection="1">
      <alignment vertical="center"/>
    </xf>
    <xf numFmtId="1" fontId="7" fillId="2" borderId="13" xfId="2" applyNumberFormat="1" applyFont="1" applyFill="1" applyBorder="1" applyAlignment="1" applyProtection="1">
      <alignment vertical="center"/>
      <protection locked="0"/>
    </xf>
    <xf numFmtId="0" fontId="7" fillId="2" borderId="0" xfId="2" applyFont="1" applyFill="1" applyBorder="1" applyAlignment="1" applyProtection="1">
      <alignment vertical="center"/>
      <protection locked="0"/>
    </xf>
    <xf numFmtId="39" fontId="3" fillId="10" borderId="9" xfId="3" applyNumberFormat="1" applyFont="1" applyFill="1" applyBorder="1" applyAlignment="1" applyProtection="1">
      <alignment horizontal="right" vertical="center"/>
      <protection locked="0"/>
    </xf>
    <xf numFmtId="0" fontId="7" fillId="2" borderId="0" xfId="2" applyFont="1" applyFill="1" applyAlignment="1">
      <alignment vertical="center"/>
    </xf>
    <xf numFmtId="0" fontId="7" fillId="2" borderId="0" xfId="2" applyFont="1" applyFill="1" applyAlignment="1">
      <alignment horizontal="center" vertical="center"/>
    </xf>
    <xf numFmtId="0" fontId="7" fillId="3" borderId="11" xfId="2" applyFont="1" applyFill="1" applyBorder="1" applyAlignment="1">
      <alignment vertical="center"/>
    </xf>
    <xf numFmtId="0" fontId="7" fillId="3" borderId="1" xfId="2" applyFont="1" applyFill="1" applyBorder="1" applyAlignment="1">
      <alignment vertical="center"/>
    </xf>
    <xf numFmtId="0" fontId="7" fillId="3" borderId="1" xfId="2" applyFont="1" applyFill="1" applyBorder="1" applyAlignment="1">
      <alignment horizontal="center" vertical="center"/>
    </xf>
    <xf numFmtId="0" fontId="7" fillId="3" borderId="12" xfId="2" applyFont="1" applyFill="1" applyBorder="1" applyAlignment="1">
      <alignment vertical="center"/>
    </xf>
    <xf numFmtId="0" fontId="7" fillId="0" borderId="0" xfId="2" applyFont="1" applyAlignment="1">
      <alignment vertical="center"/>
    </xf>
    <xf numFmtId="0" fontId="12" fillId="2" borderId="0" xfId="2" applyFont="1" applyFill="1" applyAlignment="1">
      <alignment vertical="top" wrapText="1"/>
    </xf>
    <xf numFmtId="0" fontId="7" fillId="3" borderId="13" xfId="2" applyFont="1" applyFill="1" applyBorder="1" applyAlignment="1">
      <alignment vertical="center"/>
    </xf>
    <xf numFmtId="0" fontId="5" fillId="3" borderId="0" xfId="2" applyFont="1" applyFill="1" applyAlignment="1">
      <alignment vertical="center"/>
    </xf>
    <xf numFmtId="0" fontId="5" fillId="3" borderId="0" xfId="2" applyFont="1" applyFill="1" applyAlignment="1">
      <alignment horizontal="right" vertical="center"/>
    </xf>
    <xf numFmtId="0" fontId="5" fillId="0" borderId="9" xfId="2" applyFont="1" applyBorder="1" applyAlignment="1" applyProtection="1">
      <alignment horizontal="left" vertical="center"/>
      <protection locked="0"/>
    </xf>
    <xf numFmtId="0" fontId="7" fillId="3" borderId="14" xfId="2" applyFont="1" applyFill="1" applyBorder="1" applyAlignment="1">
      <alignment vertical="center"/>
    </xf>
    <xf numFmtId="0" fontId="11" fillId="3" borderId="0" xfId="2" applyFont="1" applyFill="1" applyAlignment="1">
      <alignment horizontal="center" vertical="center"/>
    </xf>
    <xf numFmtId="0" fontId="5" fillId="3" borderId="0" xfId="2" applyFont="1" applyFill="1" applyAlignment="1">
      <alignment horizontal="left" vertical="center"/>
    </xf>
    <xf numFmtId="0" fontId="5" fillId="3" borderId="13" xfId="2" applyFont="1" applyFill="1" applyBorder="1" applyAlignment="1">
      <alignment vertical="center"/>
    </xf>
    <xf numFmtId="0" fontId="5" fillId="3" borderId="14" xfId="2" applyFont="1" applyFill="1" applyBorder="1" applyAlignment="1">
      <alignment horizontal="left" vertical="center"/>
    </xf>
    <xf numFmtId="0" fontId="5" fillId="2" borderId="0" xfId="2" applyFont="1" applyFill="1" applyAlignment="1">
      <alignment horizontal="left" vertical="center"/>
    </xf>
    <xf numFmtId="0" fontId="7" fillId="3" borderId="15" xfId="2" applyFont="1" applyFill="1" applyBorder="1" applyAlignment="1">
      <alignment vertical="center"/>
    </xf>
    <xf numFmtId="0" fontId="7" fillId="3" borderId="2" xfId="2" applyFont="1" applyFill="1" applyBorder="1" applyAlignment="1">
      <alignment vertical="center"/>
    </xf>
    <xf numFmtId="0" fontId="7" fillId="3" borderId="2" xfId="2" applyFont="1" applyFill="1" applyBorder="1" applyAlignment="1">
      <alignment horizontal="center" vertical="center"/>
    </xf>
    <xf numFmtId="0" fontId="7" fillId="3" borderId="16" xfId="2" applyFont="1" applyFill="1" applyBorder="1" applyAlignment="1">
      <alignment vertical="center"/>
    </xf>
    <xf numFmtId="165" fontId="5" fillId="3" borderId="5" xfId="2" applyNumberFormat="1" applyFont="1" applyFill="1" applyBorder="1" applyAlignment="1">
      <alignment horizontal="left" vertical="center"/>
    </xf>
    <xf numFmtId="1" fontId="5" fillId="3" borderId="5" xfId="2" applyNumberFormat="1" applyFont="1" applyFill="1" applyBorder="1" applyAlignment="1">
      <alignment horizontal="center" vertical="center"/>
    </xf>
    <xf numFmtId="165" fontId="8" fillId="3" borderId="5" xfId="2" applyNumberFormat="1" applyFont="1" applyFill="1" applyBorder="1" applyAlignment="1">
      <alignment horizontal="center" vertical="center"/>
    </xf>
    <xf numFmtId="165" fontId="5" fillId="3" borderId="5" xfId="2" applyNumberFormat="1" applyFont="1" applyFill="1" applyBorder="1" applyAlignment="1">
      <alignment horizontal="center" vertical="center"/>
    </xf>
    <xf numFmtId="1" fontId="5" fillId="4" borderId="5" xfId="2" applyNumberFormat="1" applyFont="1" applyFill="1" applyBorder="1" applyAlignment="1">
      <alignment horizontal="center" vertical="center"/>
    </xf>
    <xf numFmtId="165" fontId="8" fillId="4" borderId="5" xfId="2" applyNumberFormat="1" applyFont="1" applyFill="1" applyBorder="1" applyAlignment="1">
      <alignment horizontal="center" vertical="center"/>
    </xf>
    <xf numFmtId="165" fontId="8" fillId="3" borderId="14" xfId="2" applyNumberFormat="1" applyFont="1" applyFill="1" applyBorder="1" applyAlignment="1">
      <alignment horizontal="center" vertical="center"/>
    </xf>
    <xf numFmtId="165" fontId="8" fillId="2" borderId="0" xfId="2" applyNumberFormat="1" applyFont="1" applyFill="1" applyAlignment="1">
      <alignment horizontal="center" vertical="center"/>
    </xf>
    <xf numFmtId="165" fontId="5" fillId="3" borderId="0" xfId="2" applyNumberFormat="1" applyFont="1" applyFill="1" applyAlignment="1">
      <alignment horizontal="left" vertical="center"/>
    </xf>
    <xf numFmtId="165" fontId="5" fillId="3" borderId="0" xfId="2" applyNumberFormat="1" applyFont="1" applyFill="1" applyAlignment="1">
      <alignment horizontal="center" vertical="center"/>
    </xf>
    <xf numFmtId="165" fontId="5" fillId="4" borderId="0" xfId="2" applyNumberFormat="1" applyFont="1" applyFill="1" applyAlignment="1">
      <alignment horizontal="center" vertical="center"/>
    </xf>
    <xf numFmtId="165" fontId="5" fillId="3" borderId="14" xfId="2" applyNumberFormat="1" applyFont="1" applyFill="1" applyBorder="1" applyAlignment="1">
      <alignment horizontal="center" vertical="center"/>
    </xf>
    <xf numFmtId="165" fontId="5" fillId="2" borderId="0" xfId="2" applyNumberFormat="1" applyFont="1" applyFill="1" applyAlignment="1">
      <alignment horizontal="center" vertical="center"/>
    </xf>
    <xf numFmtId="165" fontId="5" fillId="3" borderId="3" xfId="2" applyNumberFormat="1" applyFont="1" applyFill="1" applyBorder="1" applyAlignment="1">
      <alignment horizontal="left" vertical="center"/>
    </xf>
    <xf numFmtId="1" fontId="5" fillId="3" borderId="3" xfId="2" applyNumberFormat="1" applyFont="1" applyFill="1" applyBorder="1" applyAlignment="1">
      <alignment horizontal="center" vertical="center"/>
    </xf>
    <xf numFmtId="165" fontId="5" fillId="3" borderId="3" xfId="2" applyNumberFormat="1" applyFont="1" applyFill="1" applyBorder="1" applyAlignment="1">
      <alignment horizontal="center" vertical="center"/>
    </xf>
    <xf numFmtId="165" fontId="5" fillId="4" borderId="3" xfId="2" applyNumberFormat="1" applyFont="1" applyFill="1" applyBorder="1" applyAlignment="1">
      <alignment horizontal="center" vertical="center"/>
    </xf>
    <xf numFmtId="0" fontId="7" fillId="2" borderId="0" xfId="2" applyFont="1" applyFill="1" applyAlignment="1">
      <alignment vertical="center" wrapText="1"/>
    </xf>
    <xf numFmtId="0" fontId="5" fillId="3" borderId="8" xfId="2" applyFont="1" applyFill="1" applyBorder="1" applyAlignment="1">
      <alignment vertical="center"/>
    </xf>
    <xf numFmtId="0" fontId="5" fillId="3" borderId="1" xfId="2" applyFont="1" applyFill="1" applyBorder="1" applyAlignment="1">
      <alignment vertical="center"/>
    </xf>
    <xf numFmtId="0" fontId="7" fillId="3" borderId="0" xfId="2" applyFont="1" applyFill="1" applyAlignment="1">
      <alignment vertical="center"/>
    </xf>
    <xf numFmtId="0" fontId="7" fillId="3" borderId="0" xfId="2" applyFont="1" applyFill="1" applyAlignment="1">
      <alignment horizontal="center" vertical="center"/>
    </xf>
    <xf numFmtId="0" fontId="7" fillId="4" borderId="0" xfId="2" applyFont="1" applyFill="1" applyAlignment="1">
      <alignment vertical="center"/>
    </xf>
    <xf numFmtId="2" fontId="7" fillId="3" borderId="0" xfId="2" applyNumberFormat="1" applyFont="1" applyFill="1" applyAlignment="1">
      <alignment vertical="center"/>
    </xf>
    <xf numFmtId="39" fontId="3" fillId="3" borderId="0" xfId="3" applyNumberFormat="1" applyFont="1" applyFill="1" applyAlignment="1">
      <alignment vertical="center"/>
    </xf>
    <xf numFmtId="37" fontId="12" fillId="4" borderId="9" xfId="3" applyNumberFormat="1" applyFont="1" applyFill="1" applyBorder="1" applyAlignment="1">
      <alignment vertical="center"/>
    </xf>
    <xf numFmtId="39" fontId="12" fillId="4" borderId="9" xfId="3" applyNumberFormat="1" applyFont="1" applyFill="1" applyBorder="1" applyAlignment="1">
      <alignment vertical="center"/>
    </xf>
    <xf numFmtId="39" fontId="3" fillId="3" borderId="14" xfId="3" applyNumberFormat="1" applyFont="1" applyFill="1" applyBorder="1" applyAlignment="1">
      <alignment vertical="center"/>
    </xf>
    <xf numFmtId="39" fontId="3" fillId="2" borderId="0" xfId="3" applyNumberFormat="1" applyFont="1" applyFill="1" applyAlignment="1">
      <alignment vertical="center"/>
    </xf>
    <xf numFmtId="0" fontId="5" fillId="3" borderId="3" xfId="2" applyFont="1" applyFill="1" applyBorder="1" applyAlignment="1">
      <alignment vertical="center"/>
    </xf>
    <xf numFmtId="0" fontId="7" fillId="3" borderId="3" xfId="2" applyFont="1" applyFill="1" applyBorder="1" applyAlignment="1">
      <alignment vertical="center"/>
    </xf>
    <xf numFmtId="0" fontId="7" fillId="3" borderId="3" xfId="2" applyFont="1" applyFill="1" applyBorder="1" applyAlignment="1">
      <alignment horizontal="center" vertical="center"/>
    </xf>
    <xf numFmtId="5" fontId="13" fillId="4" borderId="3" xfId="3" applyNumberFormat="1" applyFont="1" applyFill="1" applyBorder="1" applyAlignment="1">
      <alignment vertical="center"/>
    </xf>
    <xf numFmtId="7" fontId="13" fillId="4" borderId="3" xfId="3" applyNumberFormat="1" applyFont="1" applyFill="1" applyBorder="1" applyAlignment="1">
      <alignment vertical="center"/>
    </xf>
    <xf numFmtId="7" fontId="4" fillId="3" borderId="14" xfId="3" applyNumberFormat="1" applyFont="1" applyFill="1" applyBorder="1" applyAlignment="1">
      <alignment vertical="center"/>
    </xf>
    <xf numFmtId="7" fontId="4" fillId="2" borderId="0" xfId="3" applyNumberFormat="1" applyFont="1" applyFill="1" applyAlignment="1">
      <alignment vertical="center"/>
    </xf>
    <xf numFmtId="37" fontId="3" fillId="4" borderId="0" xfId="5" applyNumberFormat="1" applyFont="1" applyFill="1" applyAlignment="1">
      <alignment vertical="center"/>
    </xf>
    <xf numFmtId="39" fontId="3" fillId="4" borderId="0" xfId="3" applyNumberFormat="1" applyFont="1" applyFill="1" applyAlignment="1">
      <alignment vertical="center"/>
    </xf>
    <xf numFmtId="37" fontId="7" fillId="4" borderId="0" xfId="2" applyNumberFormat="1" applyFont="1" applyFill="1" applyAlignment="1">
      <alignment vertical="center"/>
    </xf>
    <xf numFmtId="0" fontId="7" fillId="0" borderId="21" xfId="2" applyFont="1" applyBorder="1" applyAlignment="1" applyProtection="1">
      <alignment horizontal="center" vertical="center"/>
      <protection locked="0"/>
    </xf>
    <xf numFmtId="3" fontId="7" fillId="3" borderId="0" xfId="2" applyNumberFormat="1" applyFont="1" applyFill="1" applyAlignment="1">
      <alignment horizontal="center" vertical="center"/>
    </xf>
    <xf numFmtId="0" fontId="7" fillId="3" borderId="0" xfId="2" applyFont="1" applyFill="1" applyAlignment="1">
      <alignment horizontal="left" vertical="center"/>
    </xf>
    <xf numFmtId="4" fontId="7" fillId="3" borderId="0" xfId="2" applyNumberFormat="1" applyFont="1" applyFill="1" applyAlignment="1">
      <alignment horizontal="center" vertical="center"/>
    </xf>
    <xf numFmtId="10" fontId="3" fillId="3" borderId="0" xfId="4" applyNumberFormat="1" applyFont="1" applyFill="1" applyAlignment="1">
      <alignment vertical="center"/>
    </xf>
    <xf numFmtId="2" fontId="7" fillId="3" borderId="3" xfId="2" applyNumberFormat="1" applyFont="1" applyFill="1" applyBorder="1" applyAlignment="1">
      <alignment horizontal="center" vertical="center"/>
    </xf>
    <xf numFmtId="2" fontId="7" fillId="3" borderId="3" xfId="2" applyNumberFormat="1" applyFont="1" applyFill="1" applyBorder="1" applyAlignment="1">
      <alignment vertical="center"/>
    </xf>
    <xf numFmtId="5" fontId="13" fillId="4" borderId="3" xfId="2" applyNumberFormat="1" applyFont="1" applyFill="1" applyBorder="1" applyAlignment="1">
      <alignment vertical="center"/>
    </xf>
    <xf numFmtId="165" fontId="13" fillId="4" borderId="3" xfId="3" applyNumberFormat="1" applyFont="1" applyFill="1" applyBorder="1" applyAlignment="1">
      <alignment vertical="center"/>
    </xf>
    <xf numFmtId="165" fontId="4" fillId="3" borderId="14" xfId="3" applyNumberFormat="1" applyFont="1" applyFill="1" applyBorder="1" applyAlignment="1">
      <alignment vertical="center"/>
    </xf>
    <xf numFmtId="165" fontId="4" fillId="2" borderId="0" xfId="3" applyNumberFormat="1" applyFont="1" applyFill="1" applyAlignment="1">
      <alignment vertical="center"/>
    </xf>
    <xf numFmtId="2" fontId="7" fillId="3" borderId="1" xfId="2" applyNumberFormat="1" applyFont="1" applyFill="1" applyBorder="1" applyAlignment="1">
      <alignment horizontal="center" vertical="center"/>
    </xf>
    <xf numFmtId="2" fontId="7" fillId="3" borderId="1" xfId="2" applyNumberFormat="1" applyFont="1" applyFill="1" applyBorder="1" applyAlignment="1">
      <alignment vertical="center"/>
    </xf>
    <xf numFmtId="37" fontId="12" fillId="4" borderId="1" xfId="2" applyNumberFormat="1" applyFont="1" applyFill="1" applyBorder="1" applyAlignment="1">
      <alignment vertical="center"/>
    </xf>
    <xf numFmtId="39" fontId="12" fillId="4" borderId="6" xfId="3" applyNumberFormat="1" applyFont="1" applyFill="1" applyBorder="1" applyAlignment="1">
      <alignment vertical="center"/>
    </xf>
    <xf numFmtId="5" fontId="13" fillId="4" borderId="4" xfId="2" applyNumberFormat="1" applyFont="1" applyFill="1" applyBorder="1" applyAlignment="1">
      <alignment vertical="center"/>
    </xf>
    <xf numFmtId="2" fontId="7" fillId="3" borderId="0" xfId="2" applyNumberFormat="1" applyFont="1" applyFill="1" applyAlignment="1">
      <alignment horizontal="center" vertical="center"/>
    </xf>
    <xf numFmtId="5" fontId="13" fillId="4" borderId="0" xfId="2" applyNumberFormat="1" applyFont="1" applyFill="1" applyAlignment="1">
      <alignment vertical="center"/>
    </xf>
    <xf numFmtId="165" fontId="13" fillId="4" borderId="0" xfId="3" applyNumberFormat="1" applyFont="1" applyFill="1" applyAlignment="1">
      <alignment vertical="center"/>
    </xf>
    <xf numFmtId="0" fontId="7" fillId="2" borderId="13" xfId="2" applyFont="1" applyFill="1" applyBorder="1" applyAlignment="1">
      <alignment vertical="center"/>
    </xf>
    <xf numFmtId="0" fontId="5" fillId="2" borderId="0" xfId="2" applyFont="1" applyFill="1" applyAlignment="1">
      <alignment vertical="center"/>
    </xf>
    <xf numFmtId="2" fontId="7" fillId="2" borderId="0" xfId="2" applyNumberFormat="1" applyFont="1" applyFill="1" applyAlignment="1">
      <alignment horizontal="center" vertical="center"/>
    </xf>
    <xf numFmtId="2" fontId="7" fillId="2" borderId="0" xfId="2" applyNumberFormat="1" applyFont="1" applyFill="1" applyAlignment="1">
      <alignment vertical="center"/>
    </xf>
    <xf numFmtId="5" fontId="13" fillId="2" borderId="0" xfId="2" applyNumberFormat="1" applyFont="1" applyFill="1" applyAlignment="1">
      <alignment vertical="center"/>
    </xf>
    <xf numFmtId="165" fontId="13" fillId="2" borderId="0" xfId="3" applyNumberFormat="1" applyFont="1" applyFill="1" applyAlignment="1">
      <alignment vertical="center"/>
    </xf>
    <xf numFmtId="165" fontId="4" fillId="2" borderId="14" xfId="3" applyNumberFormat="1" applyFont="1" applyFill="1" applyBorder="1" applyAlignment="1">
      <alignment vertical="center"/>
    </xf>
    <xf numFmtId="37" fontId="12" fillId="4" borderId="0" xfId="2" applyNumberFormat="1" applyFont="1" applyFill="1" applyAlignment="1">
      <alignment vertical="center"/>
    </xf>
    <xf numFmtId="39" fontId="12" fillId="4" borderId="0" xfId="3" applyNumberFormat="1" applyFont="1" applyFill="1" applyAlignment="1">
      <alignment vertical="center"/>
    </xf>
    <xf numFmtId="0" fontId="9" fillId="3" borderId="3" xfId="2" applyFont="1" applyFill="1" applyBorder="1" applyAlignment="1">
      <alignment vertical="center"/>
    </xf>
    <xf numFmtId="37" fontId="12" fillId="4" borderId="9" xfId="2" applyNumberFormat="1" applyFont="1" applyFill="1" applyBorder="1" applyAlignment="1">
      <alignment vertical="center"/>
    </xf>
    <xf numFmtId="39" fontId="12" fillId="4" borderId="2" xfId="3" applyNumberFormat="1" applyFont="1" applyFill="1" applyBorder="1" applyAlignment="1">
      <alignment vertical="center"/>
    </xf>
    <xf numFmtId="165" fontId="13" fillId="4" borderId="4" xfId="3" applyNumberFormat="1" applyFont="1" applyFill="1" applyBorder="1" applyAlignment="1">
      <alignment vertical="center"/>
    </xf>
    <xf numFmtId="0" fontId="7" fillId="3" borderId="17" xfId="2" applyFont="1" applyFill="1" applyBorder="1" applyAlignment="1">
      <alignment vertical="center"/>
    </xf>
    <xf numFmtId="0" fontId="7" fillId="3" borderId="18" xfId="2" applyFont="1" applyFill="1" applyBorder="1" applyAlignment="1">
      <alignment vertical="center"/>
    </xf>
    <xf numFmtId="0" fontId="7" fillId="0" borderId="0" xfId="2" applyFont="1" applyAlignment="1">
      <alignment horizontal="center" vertical="center"/>
    </xf>
    <xf numFmtId="0" fontId="19" fillId="5" borderId="0" xfId="0" applyFont="1" applyFill="1" applyAlignment="1">
      <alignment horizontal="center"/>
    </xf>
    <xf numFmtId="0" fontId="19" fillId="5" borderId="0" xfId="0" applyFont="1" applyFill="1"/>
    <xf numFmtId="0" fontId="19" fillId="6" borderId="0" xfId="0" applyFont="1" applyFill="1" applyAlignment="1">
      <alignment horizontal="center"/>
    </xf>
    <xf numFmtId="0" fontId="20" fillId="7" borderId="0" xfId="0" applyFont="1" applyFill="1"/>
    <xf numFmtId="166" fontId="19" fillId="6" borderId="0" xfId="0" applyNumberFormat="1" applyFont="1" applyFill="1" applyAlignment="1">
      <alignment horizontal="center"/>
    </xf>
    <xf numFmtId="10" fontId="19" fillId="6" borderId="0" xfId="6" applyNumberFormat="1" applyFont="1" applyFill="1" applyAlignment="1">
      <alignment horizontal="center"/>
    </xf>
    <xf numFmtId="167" fontId="19" fillId="6" borderId="0" xfId="0" applyNumberFormat="1" applyFont="1" applyFill="1" applyAlignment="1">
      <alignment horizontal="center"/>
    </xf>
    <xf numFmtId="0" fontId="0" fillId="5" borderId="0" xfId="0" applyFill="1"/>
    <xf numFmtId="166" fontId="0" fillId="6" borderId="0" xfId="0" applyNumberFormat="1" applyFill="1" applyAlignment="1">
      <alignment horizontal="left"/>
    </xf>
    <xf numFmtId="0" fontId="0" fillId="7" borderId="0" xfId="0" applyFill="1"/>
    <xf numFmtId="0" fontId="0" fillId="8" borderId="0" xfId="0" applyFill="1"/>
    <xf numFmtId="166" fontId="0" fillId="8" borderId="0" xfId="0" applyNumberFormat="1" applyFill="1"/>
    <xf numFmtId="10" fontId="1" fillId="8" borderId="0" xfId="6" applyNumberFormat="1" applyFont="1" applyFill="1" applyAlignment="1">
      <alignment horizontal="center"/>
    </xf>
    <xf numFmtId="166" fontId="0" fillId="6" borderId="0" xfId="0" applyNumberFormat="1" applyFill="1"/>
    <xf numFmtId="167" fontId="0" fillId="8" borderId="0" xfId="0" applyNumberFormat="1" applyFill="1"/>
    <xf numFmtId="166" fontId="0" fillId="8" borderId="0" xfId="0" applyNumberFormat="1" applyFill="1" applyAlignment="1">
      <alignment horizontal="right" indent="1"/>
    </xf>
    <xf numFmtId="0" fontId="0" fillId="8" borderId="0" xfId="0" applyFill="1" applyAlignment="1">
      <alignment horizontal="right" indent="1"/>
    </xf>
    <xf numFmtId="0" fontId="0" fillId="0" borderId="0" xfId="0" applyAlignment="1">
      <alignment horizontal="left" vertical="center"/>
    </xf>
    <xf numFmtId="167" fontId="0" fillId="8" borderId="0" xfId="0" applyNumberFormat="1" applyFill="1" applyAlignment="1">
      <alignment horizontal="right"/>
    </xf>
    <xf numFmtId="165" fontId="0" fillId="6" borderId="0" xfId="0" applyNumberFormat="1" applyFill="1"/>
    <xf numFmtId="0" fontId="0" fillId="9" borderId="0" xfId="0" applyFill="1"/>
    <xf numFmtId="1" fontId="1" fillId="8" borderId="0" xfId="1" applyNumberFormat="1" applyFont="1" applyFill="1" applyAlignment="1">
      <alignment horizontal="center"/>
    </xf>
    <xf numFmtId="166" fontId="1" fillId="8" borderId="0" xfId="1" applyNumberFormat="1" applyFont="1" applyFill="1" applyAlignment="1">
      <alignment horizontal="center"/>
    </xf>
    <xf numFmtId="1" fontId="0" fillId="8" borderId="0" xfId="0" applyNumberFormat="1" applyFill="1" applyAlignment="1">
      <alignment horizontal="center"/>
    </xf>
    <xf numFmtId="43" fontId="1" fillId="8" borderId="0" xfId="1" applyFont="1" applyFill="1"/>
    <xf numFmtId="166" fontId="1" fillId="8" borderId="0" xfId="1" applyNumberFormat="1" applyFont="1" applyFill="1"/>
    <xf numFmtId="165" fontId="0" fillId="8" borderId="0" xfId="0" applyNumberFormat="1" applyFill="1" applyAlignment="1">
      <alignment horizontal="right" indent="1"/>
    </xf>
    <xf numFmtId="0" fontId="0" fillId="5" borderId="2" xfId="0" applyFill="1" applyBorder="1"/>
    <xf numFmtId="0" fontId="0" fillId="6" borderId="2" xfId="0" applyFill="1" applyBorder="1"/>
    <xf numFmtId="0" fontId="0" fillId="7" borderId="2" xfId="0" applyFill="1" applyBorder="1"/>
    <xf numFmtId="0" fontId="0" fillId="8" borderId="2" xfId="0" applyFill="1" applyBorder="1"/>
    <xf numFmtId="166" fontId="0" fillId="8" borderId="2" xfId="0" applyNumberFormat="1" applyFill="1" applyBorder="1"/>
    <xf numFmtId="10" fontId="1" fillId="8" borderId="2" xfId="6" applyNumberFormat="1" applyFont="1" applyFill="1" applyBorder="1" applyAlignment="1">
      <alignment horizontal="center"/>
    </xf>
    <xf numFmtId="167" fontId="0" fillId="8" borderId="2" xfId="0" applyNumberFormat="1" applyFill="1" applyBorder="1"/>
    <xf numFmtId="0" fontId="0" fillId="8" borderId="2" xfId="0" applyFill="1" applyBorder="1" applyAlignment="1">
      <alignment horizontal="right" indent="1"/>
    </xf>
    <xf numFmtId="10" fontId="1" fillId="2" borderId="0" xfId="6" applyNumberFormat="1" applyFont="1" applyFill="1" applyAlignment="1">
      <alignment horizontal="center"/>
    </xf>
    <xf numFmtId="10" fontId="1" fillId="0" borderId="0" xfId="6" applyNumberFormat="1" applyFont="1" applyAlignment="1">
      <alignment horizontal="center"/>
    </xf>
    <xf numFmtId="1" fontId="7" fillId="3" borderId="3" xfId="2" applyNumberFormat="1" applyFont="1" applyFill="1" applyBorder="1" applyAlignment="1" applyProtection="1">
      <alignment horizontal="center" vertical="center"/>
    </xf>
    <xf numFmtId="166" fontId="7" fillId="0" borderId="9" xfId="8" applyNumberFormat="1" applyFont="1" applyFill="1" applyBorder="1" applyAlignment="1" applyProtection="1">
      <alignment horizontal="center" vertical="center"/>
      <protection locked="0"/>
    </xf>
    <xf numFmtId="166" fontId="7" fillId="3" borderId="0" xfId="2" applyNumberFormat="1" applyFont="1" applyFill="1" applyBorder="1" applyAlignment="1" applyProtection="1">
      <alignment horizontal="center" vertical="center"/>
    </xf>
    <xf numFmtId="9" fontId="7" fillId="0" borderId="9" xfId="6" applyFont="1" applyBorder="1" applyAlignment="1" applyProtection="1">
      <alignment horizontal="center" vertical="center"/>
      <protection locked="0"/>
    </xf>
    <xf numFmtId="39" fontId="7" fillId="2" borderId="0" xfId="2" applyNumberFormat="1" applyFont="1" applyFill="1" applyAlignment="1">
      <alignment vertical="center"/>
    </xf>
    <xf numFmtId="165" fontId="8" fillId="3" borderId="0" xfId="2" applyNumberFormat="1" applyFont="1" applyFill="1" applyBorder="1" applyAlignment="1" applyProtection="1">
      <alignment horizontal="center" vertical="center"/>
    </xf>
    <xf numFmtId="9" fontId="7" fillId="2" borderId="0" xfId="2" applyNumberFormat="1" applyFont="1" applyFill="1" applyBorder="1" applyAlignment="1" applyProtection="1">
      <alignment vertical="center"/>
      <protection locked="0"/>
    </xf>
    <xf numFmtId="0" fontId="7" fillId="3" borderId="2" xfId="2" applyFont="1" applyFill="1" applyBorder="1" applyAlignment="1" applyProtection="1">
      <alignment vertical="center"/>
    </xf>
    <xf numFmtId="165" fontId="5" fillId="4" borderId="5" xfId="2" applyNumberFormat="1" applyFont="1" applyFill="1" applyBorder="1" applyAlignment="1">
      <alignment horizontal="center" vertical="center"/>
    </xf>
    <xf numFmtId="7" fontId="7" fillId="2" borderId="0" xfId="2" applyNumberFormat="1" applyFont="1" applyFill="1" applyAlignment="1">
      <alignment vertical="center"/>
    </xf>
    <xf numFmtId="0" fontId="7" fillId="2" borderId="0" xfId="2" applyNumberFormat="1" applyFont="1" applyFill="1" applyAlignment="1" applyProtection="1">
      <alignment vertical="center"/>
    </xf>
    <xf numFmtId="0" fontId="7" fillId="3" borderId="1" xfId="2" applyNumberFormat="1" applyFont="1" applyFill="1" applyBorder="1" applyAlignment="1" applyProtection="1">
      <alignment vertical="center"/>
    </xf>
    <xf numFmtId="0" fontId="5" fillId="3" borderId="0" xfId="2" applyNumberFormat="1" applyFont="1" applyFill="1" applyBorder="1" applyAlignment="1" applyProtection="1">
      <alignment horizontal="left" vertical="center"/>
    </xf>
    <xf numFmtId="0" fontId="7" fillId="3" borderId="2" xfId="2" applyNumberFormat="1" applyFont="1" applyFill="1" applyBorder="1" applyAlignment="1" applyProtection="1">
      <alignment vertical="center"/>
    </xf>
    <xf numFmtId="0" fontId="5" fillId="3" borderId="5" xfId="2" applyNumberFormat="1" applyFont="1" applyFill="1" applyBorder="1" applyAlignment="1" applyProtection="1">
      <alignment horizontal="center" vertical="center"/>
    </xf>
    <xf numFmtId="0" fontId="5" fillId="3" borderId="0" xfId="2" applyNumberFormat="1" applyFont="1" applyFill="1" applyBorder="1" applyAlignment="1" applyProtection="1">
      <alignment horizontal="center" vertical="center"/>
    </xf>
    <xf numFmtId="0" fontId="7" fillId="3" borderId="3"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protection locked="0"/>
    </xf>
    <xf numFmtId="0" fontId="7" fillId="3" borderId="3" xfId="2" applyNumberFormat="1" applyFont="1" applyFill="1" applyBorder="1" applyAlignment="1" applyProtection="1">
      <alignment vertical="center"/>
    </xf>
    <xf numFmtId="0" fontId="7" fillId="0" borderId="0" xfId="2" applyNumberFormat="1" applyFont="1" applyAlignment="1" applyProtection="1">
      <alignment vertical="center"/>
    </xf>
    <xf numFmtId="165" fontId="7" fillId="0" borderId="9" xfId="8" applyNumberFormat="1" applyFont="1" applyFill="1" applyBorder="1" applyAlignment="1" applyProtection="1">
      <alignment horizontal="center" vertical="center"/>
      <protection locked="0"/>
    </xf>
    <xf numFmtId="0" fontId="24" fillId="0" borderId="10" xfId="9" applyBorder="1" applyAlignment="1" applyProtection="1">
      <alignment vertical="center"/>
      <protection locked="0"/>
    </xf>
    <xf numFmtId="0" fontId="24" fillId="0" borderId="9" xfId="9" applyBorder="1" applyAlignment="1" applyProtection="1">
      <alignment vertical="center"/>
      <protection locked="0"/>
    </xf>
    <xf numFmtId="0" fontId="11" fillId="3" borderId="0" xfId="2" applyFont="1" applyFill="1" applyAlignment="1">
      <alignment horizontal="center" vertical="center"/>
    </xf>
    <xf numFmtId="0" fontId="7" fillId="3" borderId="2" xfId="2" applyFont="1" applyFill="1" applyBorder="1" applyAlignment="1">
      <alignment vertical="center"/>
    </xf>
    <xf numFmtId="0" fontId="7" fillId="3" borderId="0" xfId="2" applyFont="1" applyFill="1" applyAlignment="1">
      <alignment horizontal="left" vertical="center"/>
    </xf>
    <xf numFmtId="0" fontId="7" fillId="3" borderId="0" xfId="2" applyFont="1" applyFill="1" applyAlignment="1">
      <alignment horizontal="left" vertical="center"/>
    </xf>
    <xf numFmtId="0" fontId="11" fillId="3" borderId="0" xfId="2" applyFont="1" applyFill="1" applyAlignment="1">
      <alignment horizontal="center" vertical="center"/>
    </xf>
    <xf numFmtId="0" fontId="7" fillId="3" borderId="2" xfId="2" applyFont="1" applyFill="1" applyBorder="1" applyAlignment="1">
      <alignment vertical="center"/>
    </xf>
    <xf numFmtId="9" fontId="7" fillId="10" borderId="13" xfId="2" applyNumberFormat="1" applyFont="1" applyFill="1" applyBorder="1" applyAlignment="1" applyProtection="1">
      <alignment vertical="center"/>
      <protection locked="0"/>
    </xf>
    <xf numFmtId="0" fontId="24" fillId="2" borderId="0" xfId="9" quotePrefix="1" applyFill="1" applyAlignment="1" applyProtection="1">
      <alignment vertical="center"/>
    </xf>
    <xf numFmtId="0" fontId="24" fillId="0" borderId="21" xfId="9" applyBorder="1" applyAlignment="1" applyProtection="1">
      <alignment vertical="center"/>
      <protection locked="0"/>
    </xf>
    <xf numFmtId="0" fontId="7" fillId="0" borderId="21" xfId="2" applyFont="1" applyBorder="1" applyAlignment="1" applyProtection="1">
      <alignment vertical="center"/>
      <protection locked="0"/>
    </xf>
    <xf numFmtId="166" fontId="7" fillId="0" borderId="21" xfId="8" applyNumberFormat="1" applyFont="1" applyFill="1" applyBorder="1" applyAlignment="1" applyProtection="1">
      <alignment horizontal="center" vertical="center"/>
      <protection locked="0"/>
    </xf>
    <xf numFmtId="165" fontId="7" fillId="0" borderId="21" xfId="8" applyNumberFormat="1" applyFont="1" applyFill="1" applyBorder="1" applyAlignment="1" applyProtection="1">
      <alignment horizontal="center" vertical="center"/>
      <protection locked="0"/>
    </xf>
    <xf numFmtId="0" fontId="7" fillId="0" borderId="21" xfId="8" applyNumberFormat="1" applyFont="1" applyFill="1" applyBorder="1" applyAlignment="1" applyProtection="1">
      <alignment horizontal="center" vertical="center"/>
      <protection locked="0"/>
    </xf>
    <xf numFmtId="0" fontId="26" fillId="4" borderId="9" xfId="9" applyFont="1" applyFill="1" applyBorder="1" applyAlignment="1" applyProtection="1">
      <alignment vertical="center"/>
      <protection locked="0"/>
    </xf>
    <xf numFmtId="0" fontId="7" fillId="4" borderId="9" xfId="2" applyFont="1" applyFill="1" applyBorder="1" applyAlignment="1" applyProtection="1">
      <alignment vertical="center" wrapText="1"/>
      <protection locked="0"/>
    </xf>
    <xf numFmtId="166" fontId="7" fillId="4" borderId="9" xfId="8" applyNumberFormat="1" applyFont="1" applyFill="1" applyBorder="1" applyAlignment="1" applyProtection="1">
      <alignment horizontal="center" vertical="center"/>
      <protection locked="0"/>
    </xf>
    <xf numFmtId="0" fontId="7" fillId="4" borderId="9" xfId="8" applyNumberFormat="1" applyFont="1" applyFill="1" applyBorder="1" applyAlignment="1" applyProtection="1">
      <alignment horizontal="center" vertical="center"/>
      <protection locked="0"/>
    </xf>
    <xf numFmtId="0" fontId="27" fillId="2" borderId="0" xfId="2" applyFont="1" applyFill="1" applyAlignment="1" applyProtection="1">
      <alignment vertical="center"/>
    </xf>
    <xf numFmtId="0" fontId="5" fillId="2" borderId="0" xfId="2" applyFont="1" applyFill="1" applyBorder="1" applyAlignment="1" applyProtection="1">
      <alignment horizontal="center"/>
    </xf>
    <xf numFmtId="0" fontId="25" fillId="3" borderId="0" xfId="2" applyFont="1" applyFill="1" applyBorder="1" applyAlignment="1" applyProtection="1">
      <alignment horizontal="center" vertical="center"/>
    </xf>
    <xf numFmtId="0" fontId="12" fillId="2" borderId="0" xfId="2" applyFont="1" applyFill="1" applyBorder="1" applyAlignment="1" applyProtection="1">
      <alignment horizontal="left" vertical="top" wrapText="1"/>
    </xf>
    <xf numFmtId="0" fontId="15" fillId="0" borderId="19" xfId="2" applyFont="1" applyFill="1" applyBorder="1" applyAlignment="1" applyProtection="1">
      <alignment horizontal="center" vertical="center" wrapText="1"/>
      <protection locked="0"/>
    </xf>
    <xf numFmtId="0" fontId="15" fillId="0" borderId="7" xfId="2" applyFont="1" applyFill="1" applyBorder="1" applyAlignment="1" applyProtection="1">
      <alignment horizontal="center" vertical="center" wrapText="1"/>
      <protection locked="0"/>
    </xf>
    <xf numFmtId="0" fontId="15" fillId="0" borderId="20" xfId="2" applyFont="1" applyFill="1" applyBorder="1" applyAlignment="1" applyProtection="1">
      <alignment horizontal="center" vertical="center" wrapText="1"/>
      <protection locked="0"/>
    </xf>
    <xf numFmtId="0" fontId="5" fillId="3" borderId="2" xfId="2" applyFont="1" applyFill="1" applyBorder="1" applyAlignment="1" applyProtection="1">
      <alignment horizontal="left" vertical="center"/>
    </xf>
    <xf numFmtId="0" fontId="7" fillId="3" borderId="2" xfId="2" applyFont="1" applyFill="1" applyBorder="1" applyAlignment="1" applyProtection="1">
      <alignment vertical="center"/>
    </xf>
    <xf numFmtId="0" fontId="7" fillId="3" borderId="0" xfId="2" applyFont="1" applyFill="1" applyAlignment="1">
      <alignment horizontal="left" vertical="center"/>
    </xf>
    <xf numFmtId="0" fontId="7" fillId="0" borderId="19" xfId="2" applyFont="1" applyBorder="1" applyAlignment="1" applyProtection="1">
      <alignment horizontal="left" vertical="center"/>
      <protection locked="0"/>
    </xf>
    <xf numFmtId="0" fontId="7" fillId="0" borderId="7" xfId="2" applyFont="1" applyBorder="1" applyAlignment="1" applyProtection="1">
      <alignment horizontal="left" vertical="center"/>
      <protection locked="0"/>
    </xf>
    <xf numFmtId="0" fontId="7" fillId="0" borderId="20" xfId="2" applyFont="1" applyBorder="1" applyAlignment="1" applyProtection="1">
      <alignment horizontal="left" vertical="center"/>
      <protection locked="0"/>
    </xf>
    <xf numFmtId="0" fontId="7" fillId="3" borderId="5" xfId="2" applyFont="1" applyFill="1" applyBorder="1" applyAlignment="1">
      <alignment horizontal="left" vertical="center"/>
    </xf>
    <xf numFmtId="0" fontId="7" fillId="0" borderId="9" xfId="2" applyFont="1" applyBorder="1" applyAlignment="1" applyProtection="1">
      <alignment horizontal="left" vertical="center"/>
      <protection locked="0"/>
    </xf>
    <xf numFmtId="0" fontId="7" fillId="2" borderId="9" xfId="2" applyFont="1" applyFill="1" applyBorder="1" applyAlignment="1" applyProtection="1">
      <alignment horizontal="left" vertical="center"/>
      <protection locked="0"/>
    </xf>
    <xf numFmtId="0" fontId="11" fillId="3" borderId="0" xfId="2" applyFont="1" applyFill="1" applyAlignment="1">
      <alignment horizontal="center" vertical="center"/>
    </xf>
    <xf numFmtId="0" fontId="5" fillId="2" borderId="3" xfId="2" applyFont="1" applyFill="1" applyBorder="1" applyAlignment="1">
      <alignment horizontal="center"/>
    </xf>
    <xf numFmtId="0" fontId="12" fillId="2" borderId="11" xfId="2" applyFont="1" applyFill="1" applyBorder="1" applyAlignment="1">
      <alignment horizontal="left" vertical="top" wrapText="1"/>
    </xf>
    <xf numFmtId="0" fontId="12" fillId="2" borderId="1" xfId="2" applyFont="1" applyFill="1" applyBorder="1" applyAlignment="1">
      <alignment horizontal="left" vertical="top" wrapText="1"/>
    </xf>
    <xf numFmtId="0" fontId="12" fillId="2" borderId="12" xfId="2" applyFont="1" applyFill="1" applyBorder="1" applyAlignment="1">
      <alignment horizontal="left" vertical="top" wrapText="1"/>
    </xf>
    <xf numFmtId="0" fontId="12" fillId="2" borderId="13" xfId="2" applyFont="1" applyFill="1" applyBorder="1" applyAlignment="1">
      <alignment horizontal="left" vertical="top" wrapText="1"/>
    </xf>
    <xf numFmtId="0" fontId="12" fillId="2" borderId="0" xfId="2" applyFont="1" applyFill="1" applyAlignment="1">
      <alignment horizontal="left" vertical="top" wrapText="1"/>
    </xf>
    <xf numFmtId="0" fontId="12" fillId="2" borderId="14" xfId="2" applyFont="1" applyFill="1" applyBorder="1" applyAlignment="1">
      <alignment horizontal="left" vertical="top" wrapText="1"/>
    </xf>
    <xf numFmtId="0" fontId="12" fillId="2" borderId="17" xfId="2" applyFont="1" applyFill="1" applyBorder="1" applyAlignment="1">
      <alignment horizontal="left" vertical="top" wrapText="1"/>
    </xf>
    <xf numFmtId="0" fontId="12" fillId="2" borderId="3" xfId="2" applyFont="1" applyFill="1" applyBorder="1" applyAlignment="1">
      <alignment horizontal="left" vertical="top" wrapText="1"/>
    </xf>
    <xf numFmtId="0" fontId="12" fillId="2" borderId="18" xfId="2" applyFont="1" applyFill="1" applyBorder="1" applyAlignment="1">
      <alignment horizontal="left" vertical="top" wrapText="1"/>
    </xf>
    <xf numFmtId="0" fontId="15" fillId="0" borderId="19" xfId="2" applyFont="1" applyBorder="1" applyAlignment="1" applyProtection="1">
      <alignment horizontal="center" vertical="center" wrapText="1"/>
      <protection locked="0"/>
    </xf>
    <xf numFmtId="0" fontId="15" fillId="0" borderId="7" xfId="2" applyFont="1" applyBorder="1" applyAlignment="1" applyProtection="1">
      <alignment horizontal="center" vertical="center" wrapText="1"/>
      <protection locked="0"/>
    </xf>
    <xf numFmtId="0" fontId="15" fillId="0" borderId="20" xfId="2" applyFont="1" applyBorder="1" applyAlignment="1" applyProtection="1">
      <alignment horizontal="center" vertical="center" wrapText="1"/>
      <protection locked="0"/>
    </xf>
    <xf numFmtId="0" fontId="5" fillId="3" borderId="2" xfId="2" applyFont="1" applyFill="1" applyBorder="1" applyAlignment="1">
      <alignment horizontal="left" vertical="center"/>
    </xf>
    <xf numFmtId="0" fontId="7" fillId="3" borderId="2" xfId="2" applyFont="1" applyFill="1" applyBorder="1" applyAlignment="1">
      <alignment vertical="center"/>
    </xf>
    <xf numFmtId="0" fontId="5" fillId="2" borderId="0" xfId="2" applyFont="1" applyFill="1" applyAlignment="1">
      <alignment horizontal="center"/>
    </xf>
    <xf numFmtId="0" fontId="7" fillId="0" borderId="10" xfId="2" applyFont="1" applyBorder="1" applyAlignment="1" applyProtection="1">
      <alignment horizontal="left" vertical="center"/>
      <protection locked="0"/>
    </xf>
    <xf numFmtId="0" fontId="6" fillId="2" borderId="0" xfId="0" applyFont="1" applyFill="1" applyAlignment="1">
      <alignment horizontal="center" vertical="center" wrapText="1"/>
    </xf>
    <xf numFmtId="0" fontId="18" fillId="0" borderId="22" xfId="7" applyFont="1" applyAlignment="1" applyProtection="1">
      <alignment horizontal="left" wrapText="1"/>
      <protection locked="0"/>
    </xf>
    <xf numFmtId="0" fontId="5" fillId="2" borderId="11" xfId="2" applyFont="1" applyFill="1" applyBorder="1" applyAlignment="1">
      <alignment horizontal="center"/>
    </xf>
    <xf numFmtId="0" fontId="5" fillId="2" borderId="12" xfId="2" applyFont="1" applyFill="1" applyBorder="1" applyAlignment="1">
      <alignment horizontal="center"/>
    </xf>
  </cellXfs>
  <cellStyles count="10">
    <cellStyle name="Comma" xfId="1" builtinId="3"/>
    <cellStyle name="Comma 2" xfId="5" xr:uid="{00000000-0005-0000-0000-000001000000}"/>
    <cellStyle name="Currency" xfId="8" builtinId="4"/>
    <cellStyle name="Currency 2" xfId="3" xr:uid="{00000000-0005-0000-0000-000003000000}"/>
    <cellStyle name="Heading 1" xfId="7" builtinId="16"/>
    <cellStyle name="Hyperlink" xfId="9" builtinId="8"/>
    <cellStyle name="Normal" xfId="0" builtinId="0"/>
    <cellStyle name="Normal 2" xfId="2" xr:uid="{00000000-0005-0000-0000-000007000000}"/>
    <cellStyle name="Percent" xfId="6" builtinId="5"/>
    <cellStyle name="Percent 2" xfId="4" xr:uid="{00000000-0005-0000-0000-000009000000}"/>
  </cellStyles>
  <dxfs count="0"/>
  <tableStyles count="0" defaultTableStyle="TableStyleMedium2" defaultPivotStyle="PivotStyleLight16"/>
  <colors>
    <mruColors>
      <color rgb="FF0000CC"/>
      <color rgb="FF99CCFF"/>
      <color rgb="FF00FF00"/>
      <color rgb="FF99FF66"/>
      <color rgb="FFC5F1FF"/>
      <color rgb="FFCCFFFF"/>
      <color rgb="FFCCFFCC"/>
      <color rgb="FFCC00CC"/>
      <color rgb="FFFF990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cals.uidaho.edu/idahoagbiz/files/2015/06/2014-Cow-calf-budgets_updated24June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leen%20Painter/Dropbox/2014%20Livestock/Dairy/EBB-D5-14-5000%209Feb%20no%20hidden%20cel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put Prices"/>
      <sheetName val="CC1"/>
      <sheetName val="CC2"/>
      <sheetName val="CC3"/>
      <sheetName val="CC4"/>
      <sheetName val="CC5"/>
    </sheetNames>
    <sheetDataSet>
      <sheetData sheetId="0"/>
      <sheetData sheetId="1">
        <row r="6">
          <cell r="C6">
            <v>180</v>
          </cell>
        </row>
        <row r="7">
          <cell r="C7">
            <v>10.43</v>
          </cell>
        </row>
        <row r="8">
          <cell r="C8">
            <v>1.35</v>
          </cell>
        </row>
        <row r="9">
          <cell r="C9">
            <v>6.89</v>
          </cell>
        </row>
        <row r="10">
          <cell r="C10">
            <v>25</v>
          </cell>
        </row>
        <row r="11">
          <cell r="C11">
            <v>25</v>
          </cell>
        </row>
        <row r="12">
          <cell r="C12">
            <v>20</v>
          </cell>
        </row>
        <row r="13">
          <cell r="C13">
            <v>0.13</v>
          </cell>
        </row>
        <row r="14">
          <cell r="C14">
            <v>0.25</v>
          </cell>
        </row>
        <row r="17">
          <cell r="C17">
            <v>2.71</v>
          </cell>
        </row>
        <row r="20">
          <cell r="C20">
            <v>23.47</v>
          </cell>
        </row>
        <row r="21">
          <cell r="C21">
            <v>11.53</v>
          </cell>
        </row>
        <row r="25">
          <cell r="C25">
            <v>4.7500000000000001E-2</v>
          </cell>
        </row>
        <row r="26">
          <cell r="C26">
            <v>3.6249999999999998E-2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Background &amp; Assumptions"/>
      <sheetName val="Summary"/>
      <sheetName val="Table 1 Enterprise Budget"/>
      <sheetName val="Table 2 Capital Recovery"/>
      <sheetName val="Amortization Factors"/>
      <sheetName val="Tables 3 &amp; 4"/>
      <sheetName val="Table 5"/>
    </sheetNames>
    <sheetDataSet>
      <sheetData sheetId="0"/>
      <sheetData sheetId="1"/>
      <sheetData sheetId="2"/>
      <sheetData sheetId="3">
        <row r="2">
          <cell r="C2">
            <v>5000</v>
          </cell>
        </row>
      </sheetData>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Stephen" id="{469984F7-D9DD-4F65-8892-5B296CF8EB5E}" userId="Stephen" providerId="None"/>
  <person displayName="Anonymous Reviewer" id="{093670D4-3747-4C9D-841D-E554D9BB4B8E}" userId="Anonymous Review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9" dT="2020-08-11T02:23:06.03" personId="{093670D4-3747-4C9D-841D-E554D9BB4B8E}" id="{3C64C01A-6D71-40B8-A805-7D3CE7093443}">
    <text>30 lb per day per cow, 14 lb per day per replacement heifer (10), 40 lb per day per bull (2)</text>
  </threadedComment>
  <threadedComment ref="K22" dT="2020-08-10T23:41:55.20" personId="{093670D4-3747-4C9D-841D-E554D9BB4B8E}" id="{A4987B80-51C2-4354-A9E9-0D692F441994}">
    <text>$20 per head for cows, $25 per head for bulls, $10 per head for calves.</text>
  </threadedComment>
</ThreadedComments>
</file>

<file path=xl/threadedComments/threadedComment2.xml><?xml version="1.0" encoding="utf-8"?>
<ThreadedComments xmlns="http://schemas.microsoft.com/office/spreadsheetml/2018/threadedcomments" xmlns:x="http://schemas.openxmlformats.org/spreadsheetml/2006/main">
  <threadedComment ref="C12" dT="2021-05-27T17:19:27.13" personId="{469984F7-D9DD-4F65-8892-5B296CF8EB5E}" id="{D1AB0EAA-B8E2-4080-B4CB-CB330BC5D3BC}">
    <text>Ask Kate: these are live steers right? Sold to the 2nd year of the grass finishing operation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E66"/>
  <sheetViews>
    <sheetView topLeftCell="D7" zoomScaleNormal="100" workbookViewId="0">
      <selection activeCell="N16" sqref="N16"/>
    </sheetView>
  </sheetViews>
  <sheetFormatPr defaultColWidth="9" defaultRowHeight="17.399999999999999" x14ac:dyDescent="0.3"/>
  <cols>
    <col min="1" max="1" width="2.5" style="19" customWidth="1"/>
    <col min="2" max="2" width="1.19921875" style="27" customWidth="1"/>
    <col min="3" max="3" width="50.296875" style="27" customWidth="1"/>
    <col min="4" max="4" width="38.69921875" style="27" customWidth="1"/>
    <col min="5" max="5" width="1.19921875" style="27" customWidth="1"/>
    <col min="6" max="6" width="12.5" style="27" customWidth="1"/>
    <col min="7" max="7" width="1.19921875" style="27" customWidth="1"/>
    <col min="8" max="8" width="12.5" style="52" customWidth="1"/>
    <col min="9" max="9" width="1.19921875" style="52" customWidth="1"/>
    <col min="10" max="10" width="16.5" style="52" customWidth="1"/>
    <col min="11" max="11" width="1.19921875" style="52" customWidth="1"/>
    <col min="12" max="12" width="12.5" style="52" customWidth="1"/>
    <col min="13" max="13" width="1.19921875" style="27" customWidth="1"/>
    <col min="14" max="15" width="17.5" style="27" customWidth="1"/>
    <col min="16" max="16" width="17.5" style="252" customWidth="1"/>
    <col min="17" max="17" width="17.5" style="27" customWidth="1"/>
    <col min="18" max="18" width="1.8984375" style="27" customWidth="1"/>
    <col min="19" max="19" width="1.8984375" style="21" customWidth="1"/>
    <col min="20" max="20" width="9" style="19"/>
    <col min="21" max="21" width="19.59765625" style="19" bestFit="1" customWidth="1"/>
    <col min="22" max="31" width="9" style="19"/>
    <col min="32" max="16384" width="9" style="27"/>
  </cols>
  <sheetData>
    <row r="1" spans="1:23" s="19" customFormat="1" ht="15" customHeight="1" thickBot="1" x14ac:dyDescent="0.35">
      <c r="A1" s="263"/>
      <c r="H1" s="20"/>
      <c r="I1" s="20"/>
      <c r="J1" s="20"/>
      <c r="K1" s="20"/>
      <c r="L1" s="20"/>
      <c r="P1" s="242"/>
      <c r="S1" s="21"/>
    </row>
    <row r="2" spans="1:23" ht="7.5" customHeight="1" x14ac:dyDescent="0.3">
      <c r="B2" s="22"/>
      <c r="C2" s="23"/>
      <c r="D2" s="23"/>
      <c r="E2" s="23"/>
      <c r="F2" s="23"/>
      <c r="G2" s="23"/>
      <c r="H2" s="24"/>
      <c r="I2" s="24"/>
      <c r="J2" s="24"/>
      <c r="K2" s="24"/>
      <c r="L2" s="24"/>
      <c r="M2" s="23"/>
      <c r="N2" s="23"/>
      <c r="O2" s="23"/>
      <c r="P2" s="243"/>
      <c r="Q2" s="23"/>
      <c r="R2" s="18"/>
      <c r="T2" s="25"/>
      <c r="U2" s="26"/>
      <c r="V2" s="26"/>
      <c r="W2" s="26"/>
    </row>
    <row r="3" spans="1:23" ht="30" customHeight="1" x14ac:dyDescent="0.3">
      <c r="B3" s="28"/>
      <c r="C3" s="18"/>
      <c r="D3" s="275" t="s">
        <v>149</v>
      </c>
      <c r="E3" s="275"/>
      <c r="F3" s="275"/>
      <c r="G3" s="275"/>
      <c r="H3" s="275"/>
      <c r="I3" s="275"/>
      <c r="J3" s="275"/>
      <c r="K3" s="275"/>
      <c r="L3" s="275"/>
      <c r="M3" s="15"/>
      <c r="N3" s="16"/>
      <c r="O3" s="16"/>
      <c r="P3" s="244"/>
      <c r="Q3" s="16"/>
      <c r="R3" s="18"/>
      <c r="T3" s="274"/>
      <c r="U3" s="274"/>
      <c r="V3" s="274"/>
      <c r="W3" s="274"/>
    </row>
    <row r="4" spans="1:23" ht="7.5" customHeight="1" x14ac:dyDescent="0.3">
      <c r="B4" s="28"/>
      <c r="C4" s="93"/>
      <c r="D4" s="60"/>
      <c r="E4" s="60"/>
      <c r="F4" s="60"/>
      <c r="G4" s="60"/>
      <c r="H4" s="60"/>
      <c r="I4" s="60"/>
      <c r="J4" s="60"/>
      <c r="K4" s="60"/>
      <c r="L4" s="60"/>
      <c r="M4" s="15"/>
      <c r="N4" s="16"/>
      <c r="O4" s="16"/>
      <c r="P4" s="244"/>
      <c r="Q4" s="16"/>
      <c r="R4" s="18"/>
      <c r="T4" s="276"/>
      <c r="U4" s="276"/>
      <c r="V4" s="276"/>
      <c r="W4" s="276"/>
    </row>
    <row r="5" spans="1:23" ht="46.2" customHeight="1" x14ac:dyDescent="0.3">
      <c r="B5" s="29"/>
      <c r="C5" s="15"/>
      <c r="D5" s="277" t="s">
        <v>156</v>
      </c>
      <c r="E5" s="278"/>
      <c r="F5" s="278"/>
      <c r="G5" s="278"/>
      <c r="H5" s="278"/>
      <c r="I5" s="278"/>
      <c r="J5" s="278"/>
      <c r="K5" s="278"/>
      <c r="L5" s="279"/>
      <c r="M5" s="15"/>
      <c r="N5" s="16"/>
      <c r="O5" s="16"/>
      <c r="P5" s="244"/>
      <c r="Q5" s="16"/>
      <c r="R5" s="16"/>
      <c r="S5" s="30"/>
      <c r="T5" s="276"/>
      <c r="U5" s="276"/>
      <c r="V5" s="276"/>
      <c r="W5" s="276"/>
    </row>
    <row r="6" spans="1:23" ht="7.5" customHeight="1" x14ac:dyDescent="0.3">
      <c r="B6" s="31"/>
      <c r="C6" s="95"/>
      <c r="D6" s="280"/>
      <c r="E6" s="280"/>
      <c r="F6" s="281"/>
      <c r="G6" s="281"/>
      <c r="H6" s="281"/>
      <c r="I6" s="61"/>
      <c r="J6" s="32"/>
      <c r="K6" s="32"/>
      <c r="L6" s="32"/>
      <c r="M6" s="61"/>
      <c r="N6" s="61"/>
      <c r="O6" s="61"/>
      <c r="P6" s="245"/>
      <c r="Q6" s="239"/>
      <c r="R6" s="18"/>
      <c r="T6" s="276"/>
      <c r="U6" s="276"/>
      <c r="V6" s="276"/>
      <c r="W6" s="276"/>
    </row>
    <row r="7" spans="1:23" ht="22.5" customHeight="1" x14ac:dyDescent="0.3">
      <c r="B7" s="28"/>
      <c r="C7" s="33"/>
      <c r="D7" s="33"/>
      <c r="E7" s="33"/>
      <c r="F7" s="34"/>
      <c r="G7" s="34"/>
      <c r="H7" s="35"/>
      <c r="I7" s="35"/>
      <c r="J7" s="36" t="s">
        <v>103</v>
      </c>
      <c r="K7" s="33"/>
      <c r="L7" s="36"/>
      <c r="M7" s="36"/>
      <c r="N7" s="36"/>
      <c r="O7" s="36" t="s">
        <v>103</v>
      </c>
      <c r="P7" s="246"/>
      <c r="Q7" s="36" t="s">
        <v>103</v>
      </c>
      <c r="R7" s="237"/>
      <c r="S7" s="37"/>
      <c r="T7" s="276"/>
      <c r="U7" s="276"/>
      <c r="V7" s="276"/>
      <c r="W7" s="276"/>
    </row>
    <row r="8" spans="1:23" ht="22.5" customHeight="1" x14ac:dyDescent="0.3">
      <c r="B8" s="28"/>
      <c r="C8" s="38"/>
      <c r="D8" s="38"/>
      <c r="E8" s="38"/>
      <c r="F8" s="39" t="s">
        <v>99</v>
      </c>
      <c r="G8" s="39"/>
      <c r="H8" s="39" t="s">
        <v>101</v>
      </c>
      <c r="I8" s="39"/>
      <c r="J8" s="39" t="s">
        <v>104</v>
      </c>
      <c r="K8" s="39"/>
      <c r="L8" s="39" t="s">
        <v>106</v>
      </c>
      <c r="M8" s="39"/>
      <c r="N8" s="39" t="s">
        <v>107</v>
      </c>
      <c r="O8" s="39" t="s">
        <v>104</v>
      </c>
      <c r="P8" s="247"/>
      <c r="Q8" s="39" t="s">
        <v>104</v>
      </c>
      <c r="R8" s="39"/>
      <c r="S8" s="40"/>
      <c r="T8" s="276"/>
      <c r="U8" s="276"/>
      <c r="V8" s="276"/>
      <c r="W8" s="276"/>
    </row>
    <row r="9" spans="1:23" ht="22.5" customHeight="1" x14ac:dyDescent="0.3">
      <c r="B9" s="28"/>
      <c r="C9" s="38"/>
      <c r="D9" s="38"/>
      <c r="E9" s="38"/>
      <c r="F9" s="39" t="s">
        <v>100</v>
      </c>
      <c r="G9" s="39"/>
      <c r="H9" s="39" t="s">
        <v>102</v>
      </c>
      <c r="I9" s="39"/>
      <c r="J9" s="39" t="s">
        <v>105</v>
      </c>
      <c r="K9" s="39"/>
      <c r="L9" s="39" t="s">
        <v>102</v>
      </c>
      <c r="M9" s="39"/>
      <c r="N9" s="39" t="s">
        <v>102</v>
      </c>
      <c r="O9" s="39" t="s">
        <v>108</v>
      </c>
      <c r="P9" s="247"/>
      <c r="Q9" s="39" t="s">
        <v>108</v>
      </c>
      <c r="R9" s="39"/>
      <c r="S9" s="40"/>
      <c r="T9" s="94"/>
      <c r="U9" s="94"/>
      <c r="V9" s="94"/>
      <c r="W9" s="94"/>
    </row>
    <row r="10" spans="1:23" ht="22.5" customHeight="1" thickBot="1" x14ac:dyDescent="0.35">
      <c r="B10" s="28"/>
      <c r="C10" s="17"/>
      <c r="D10" s="17"/>
      <c r="E10" s="17"/>
      <c r="F10" s="232" t="s">
        <v>109</v>
      </c>
      <c r="G10" s="41"/>
      <c r="H10" s="232" t="s">
        <v>109</v>
      </c>
      <c r="I10" s="232"/>
      <c r="J10" s="232"/>
      <c r="K10" s="232"/>
      <c r="L10" s="232" t="s">
        <v>109</v>
      </c>
      <c r="M10" s="232"/>
      <c r="N10" s="232" t="s">
        <v>109</v>
      </c>
      <c r="O10" s="232" t="s">
        <v>109</v>
      </c>
      <c r="P10" s="248" t="s">
        <v>16</v>
      </c>
      <c r="Q10" s="232" t="s">
        <v>11</v>
      </c>
      <c r="R10" s="39"/>
      <c r="S10" s="40"/>
      <c r="T10" s="42"/>
      <c r="U10" s="42"/>
      <c r="V10" s="21"/>
      <c r="W10" s="21"/>
    </row>
    <row r="11" spans="1:23" ht="22.5" customHeight="1" thickBot="1" x14ac:dyDescent="0.35">
      <c r="B11" s="28"/>
      <c r="C11" s="43"/>
      <c r="D11" s="43"/>
      <c r="E11" s="44"/>
      <c r="F11" s="18"/>
      <c r="G11" s="18"/>
      <c r="H11" s="45"/>
      <c r="I11" s="45"/>
      <c r="J11" s="45"/>
      <c r="K11" s="45"/>
      <c r="L11" s="45"/>
      <c r="M11" s="18"/>
      <c r="N11" s="234"/>
      <c r="O11" s="234"/>
      <c r="P11" s="249"/>
      <c r="Q11" s="234"/>
      <c r="R11" s="18"/>
      <c r="T11" s="274"/>
      <c r="U11" s="274"/>
      <c r="V11" s="21"/>
      <c r="W11" s="21"/>
    </row>
    <row r="12" spans="1:23" ht="22.5" customHeight="1" x14ac:dyDescent="0.3">
      <c r="B12" s="28"/>
      <c r="C12" s="254" t="s">
        <v>150</v>
      </c>
      <c r="D12" s="5" t="s">
        <v>135</v>
      </c>
      <c r="E12" s="18"/>
      <c r="F12" s="233">
        <f>'Yearling budget'!N14</f>
        <v>222.5</v>
      </c>
      <c r="G12" s="18"/>
      <c r="H12" s="233">
        <f>'Yearling budget'!N30</f>
        <v>929.79166666666663</v>
      </c>
      <c r="I12" s="18"/>
      <c r="J12" s="233">
        <f>F12-H12</f>
        <v>-707.29166666666663</v>
      </c>
      <c r="K12" s="18"/>
      <c r="L12" s="233">
        <f>'Yearling budget'!N39</f>
        <v>10.416666666666666</v>
      </c>
      <c r="M12" s="47"/>
      <c r="N12" s="233">
        <f>L12+H12</f>
        <v>940.20833333333326</v>
      </c>
      <c r="O12" s="253">
        <f>F12-N12</f>
        <v>-717.70833333333326</v>
      </c>
      <c r="P12" s="250">
        <v>24</v>
      </c>
      <c r="Q12" s="233">
        <f>O12*P12</f>
        <v>-17225</v>
      </c>
      <c r="R12" s="47"/>
      <c r="S12" s="48"/>
      <c r="T12" s="97"/>
      <c r="U12" s="97"/>
      <c r="V12" s="21"/>
      <c r="W12" s="21"/>
    </row>
    <row r="13" spans="1:23" ht="22.5" customHeight="1" x14ac:dyDescent="0.3">
      <c r="B13" s="28"/>
      <c r="C13" s="255" t="s">
        <v>151</v>
      </c>
      <c r="D13" s="265" t="s">
        <v>153</v>
      </c>
      <c r="E13" s="18"/>
      <c r="F13" s="233">
        <f>'Selling steers USDA inspected '!N14</f>
        <v>2940</v>
      </c>
      <c r="G13" s="46"/>
      <c r="H13" s="233">
        <f>'Selling steers USDA inspected '!N36</f>
        <v>1575.5266666666666</v>
      </c>
      <c r="I13" s="45"/>
      <c r="J13" s="233">
        <f>F13-H13</f>
        <v>1364.4733333333334</v>
      </c>
      <c r="K13" s="45"/>
      <c r="L13" s="233">
        <f>'Selling steers USDA inspected '!N47</f>
        <v>10.416666666666666</v>
      </c>
      <c r="M13" s="47"/>
      <c r="N13" s="233">
        <f>L13+H13</f>
        <v>1585.9433333333334</v>
      </c>
      <c r="O13" s="253">
        <f>F13-N13</f>
        <v>1354.0566666666666</v>
      </c>
      <c r="P13" s="250">
        <f>'Selling steers USDA inspected '!N5</f>
        <v>24</v>
      </c>
      <c r="Q13" s="233">
        <f>O13*P13</f>
        <v>32497.360000000001</v>
      </c>
      <c r="R13" s="47"/>
      <c r="S13" s="48"/>
      <c r="T13" s="97"/>
      <c r="U13" s="97"/>
      <c r="V13" s="21"/>
      <c r="W13" s="21"/>
    </row>
    <row r="14" spans="1:23" ht="22.5" customHeight="1" x14ac:dyDescent="0.3">
      <c r="B14" s="28"/>
      <c r="C14" s="264" t="s">
        <v>152</v>
      </c>
      <c r="D14" s="265" t="s">
        <v>153</v>
      </c>
      <c r="E14" s="18"/>
      <c r="F14" s="266">
        <f>'Selling steers locker beef'!N14</f>
        <v>1013.75</v>
      </c>
      <c r="G14" s="46"/>
      <c r="H14" s="266">
        <f>'Selling steers locker beef'!N32</f>
        <v>788.69333333333327</v>
      </c>
      <c r="I14" s="45"/>
      <c r="J14" s="266">
        <f>F14-H14</f>
        <v>225.05666666666673</v>
      </c>
      <c r="K14" s="45"/>
      <c r="L14" s="266">
        <f>'Selling steers locker beef'!N41</f>
        <v>10.416666666666666</v>
      </c>
      <c r="M14" s="47"/>
      <c r="N14" s="266">
        <f>L14+H14</f>
        <v>799.1099999999999</v>
      </c>
      <c r="O14" s="267">
        <f>F14-N14</f>
        <v>214.6400000000001</v>
      </c>
      <c r="P14" s="268">
        <f>'Selling steers locker beef'!N5</f>
        <v>24</v>
      </c>
      <c r="Q14" s="266">
        <f>O14*P14</f>
        <v>5151.3600000000024</v>
      </c>
      <c r="R14" s="47"/>
      <c r="S14" s="48"/>
      <c r="T14" s="238"/>
      <c r="U14" s="97"/>
      <c r="V14" s="21"/>
      <c r="W14" s="21"/>
    </row>
    <row r="15" spans="1:23" ht="34.799999999999997" customHeight="1" x14ac:dyDescent="0.3">
      <c r="B15" s="28"/>
      <c r="C15" s="269" t="s">
        <v>147</v>
      </c>
      <c r="D15" s="270" t="s">
        <v>155</v>
      </c>
      <c r="E15" s="18"/>
      <c r="F15" s="271">
        <f>(F12+F13)/2</f>
        <v>1581.25</v>
      </c>
      <c r="G15" s="18"/>
      <c r="H15" s="271">
        <f>(H12+H13)/2</f>
        <v>1252.6591666666666</v>
      </c>
      <c r="I15" s="18"/>
      <c r="J15" s="271">
        <f>F15-H15</f>
        <v>328.59083333333342</v>
      </c>
      <c r="K15" s="45"/>
      <c r="L15" s="271">
        <f>(L12+L13)/2</f>
        <v>10.416666666666666</v>
      </c>
      <c r="M15" s="45"/>
      <c r="N15" s="271">
        <f>L15+H15</f>
        <v>1263.0758333333333</v>
      </c>
      <c r="O15" s="271">
        <f>F15-N15</f>
        <v>318.17416666666668</v>
      </c>
      <c r="P15" s="272">
        <f>P12+P13</f>
        <v>48</v>
      </c>
      <c r="Q15" s="271">
        <f>P15*O15</f>
        <v>15272.36</v>
      </c>
      <c r="R15" s="47"/>
      <c r="S15" s="48"/>
      <c r="T15" s="238"/>
      <c r="U15" s="97"/>
      <c r="V15" s="21"/>
      <c r="W15" s="21"/>
    </row>
    <row r="16" spans="1:23" ht="37.200000000000003" customHeight="1" x14ac:dyDescent="0.3">
      <c r="B16" s="28"/>
      <c r="C16" s="269" t="s">
        <v>146</v>
      </c>
      <c r="D16" s="270" t="s">
        <v>154</v>
      </c>
      <c r="E16" s="18"/>
      <c r="F16" s="271">
        <f>(F12+F14)/2</f>
        <v>618.125</v>
      </c>
      <c r="G16" s="18"/>
      <c r="H16" s="271">
        <f>(H12+H14)/2</f>
        <v>859.24249999999995</v>
      </c>
      <c r="I16" s="45"/>
      <c r="J16" s="271">
        <f>F16-H16</f>
        <v>-241.11749999999995</v>
      </c>
      <c r="K16" s="45"/>
      <c r="L16" s="271">
        <f>(L12+L14)/2</f>
        <v>10.416666666666666</v>
      </c>
      <c r="M16" s="45"/>
      <c r="N16" s="271">
        <f>L16+H16</f>
        <v>869.65916666666658</v>
      </c>
      <c r="O16" s="271">
        <f>F16-N16</f>
        <v>-251.53416666666658</v>
      </c>
      <c r="P16" s="272">
        <f>P12+P14</f>
        <v>48</v>
      </c>
      <c r="Q16" s="271">
        <f>P16*O16</f>
        <v>-12073.639999999996</v>
      </c>
      <c r="R16" s="47"/>
      <c r="S16" s="48"/>
      <c r="T16" s="238"/>
      <c r="U16" s="97"/>
      <c r="V16" s="21"/>
      <c r="W16" s="21"/>
    </row>
    <row r="17" spans="2:23" ht="7.5" customHeight="1" thickBot="1" x14ac:dyDescent="0.35">
      <c r="B17" s="51"/>
      <c r="C17" s="49"/>
      <c r="D17" s="49"/>
      <c r="E17" s="49"/>
      <c r="F17" s="49"/>
      <c r="G17" s="49"/>
      <c r="H17" s="50"/>
      <c r="I17" s="50"/>
      <c r="J17" s="50"/>
      <c r="K17" s="50"/>
      <c r="L17" s="50"/>
      <c r="M17" s="49"/>
      <c r="N17" s="49"/>
      <c r="O17" s="49"/>
      <c r="P17" s="251"/>
      <c r="Q17" s="49"/>
      <c r="R17" s="18"/>
      <c r="T17" s="21"/>
      <c r="U17" s="21"/>
      <c r="V17" s="21"/>
      <c r="W17" s="21"/>
    </row>
    <row r="18" spans="2:23" s="19" customFormat="1" x14ac:dyDescent="0.3">
      <c r="C18" s="273"/>
      <c r="H18" s="20"/>
      <c r="I18" s="20"/>
      <c r="J18" s="20"/>
      <c r="K18" s="20"/>
      <c r="L18" s="20"/>
      <c r="P18" s="242"/>
      <c r="S18" s="21"/>
    </row>
    <row r="19" spans="2:23" s="19" customFormat="1" x14ac:dyDescent="0.3">
      <c r="H19" s="20"/>
      <c r="I19" s="20"/>
      <c r="J19" s="20"/>
      <c r="K19" s="20"/>
      <c r="L19" s="20"/>
      <c r="P19" s="242"/>
      <c r="S19" s="21"/>
    </row>
    <row r="20" spans="2:23" s="19" customFormat="1" x14ac:dyDescent="0.3">
      <c r="H20" s="20"/>
      <c r="I20" s="20"/>
      <c r="J20" s="20"/>
      <c r="K20" s="20"/>
      <c r="L20" s="20"/>
      <c r="P20" s="242"/>
      <c r="S20" s="21"/>
    </row>
    <row r="21" spans="2:23" s="19" customFormat="1" x14ac:dyDescent="0.3">
      <c r="H21" s="20"/>
      <c r="I21" s="20"/>
      <c r="J21" s="20"/>
      <c r="K21" s="20"/>
      <c r="L21" s="20"/>
      <c r="P21" s="242"/>
      <c r="S21" s="21"/>
    </row>
    <row r="22" spans="2:23" s="19" customFormat="1" x14ac:dyDescent="0.3">
      <c r="H22" s="20"/>
      <c r="I22" s="20"/>
      <c r="J22" s="20"/>
      <c r="K22" s="20"/>
      <c r="L22" s="20"/>
      <c r="P22" s="242"/>
      <c r="S22" s="21"/>
    </row>
    <row r="23" spans="2:23" s="19" customFormat="1" x14ac:dyDescent="0.3">
      <c r="H23" s="20"/>
      <c r="I23" s="20"/>
      <c r="J23" s="20"/>
      <c r="K23" s="20"/>
      <c r="L23" s="20"/>
      <c r="P23" s="242"/>
      <c r="S23" s="21"/>
    </row>
    <row r="24" spans="2:23" s="19" customFormat="1" x14ac:dyDescent="0.3">
      <c r="H24" s="20"/>
      <c r="I24" s="20"/>
      <c r="J24" s="20"/>
      <c r="K24" s="20"/>
      <c r="L24" s="20"/>
      <c r="P24" s="242"/>
      <c r="S24" s="21"/>
    </row>
    <row r="25" spans="2:23" s="19" customFormat="1" x14ac:dyDescent="0.3">
      <c r="H25" s="20"/>
      <c r="I25" s="20"/>
      <c r="J25" s="20"/>
      <c r="K25" s="20"/>
      <c r="L25" s="20"/>
      <c r="P25" s="242"/>
      <c r="S25" s="21"/>
    </row>
    <row r="26" spans="2:23" s="19" customFormat="1" x14ac:dyDescent="0.3">
      <c r="H26" s="20"/>
      <c r="I26" s="20"/>
      <c r="J26" s="20"/>
      <c r="K26" s="20"/>
      <c r="L26" s="20"/>
      <c r="P26" s="242"/>
      <c r="S26" s="21"/>
    </row>
    <row r="27" spans="2:23" s="19" customFormat="1" x14ac:dyDescent="0.3">
      <c r="H27" s="20"/>
      <c r="I27" s="20"/>
      <c r="J27" s="20"/>
      <c r="K27" s="20"/>
      <c r="L27" s="20"/>
      <c r="P27" s="242"/>
      <c r="S27" s="21"/>
    </row>
    <row r="28" spans="2:23" s="19" customFormat="1" x14ac:dyDescent="0.3">
      <c r="H28" s="20"/>
      <c r="I28" s="20"/>
      <c r="J28" s="20"/>
      <c r="K28" s="20"/>
      <c r="L28" s="20"/>
      <c r="P28" s="242"/>
      <c r="S28" s="21"/>
    </row>
    <row r="29" spans="2:23" s="19" customFormat="1" x14ac:dyDescent="0.3">
      <c r="H29" s="20"/>
      <c r="I29" s="20"/>
      <c r="J29" s="20"/>
      <c r="K29" s="20"/>
      <c r="L29" s="20"/>
      <c r="P29" s="242"/>
      <c r="S29" s="21"/>
    </row>
    <row r="30" spans="2:23" s="19" customFormat="1" x14ac:dyDescent="0.3">
      <c r="H30" s="20"/>
      <c r="I30" s="20"/>
      <c r="J30" s="20"/>
      <c r="K30" s="20"/>
      <c r="L30" s="20"/>
      <c r="P30" s="242"/>
      <c r="S30" s="21"/>
    </row>
    <row r="31" spans="2:23" s="19" customFormat="1" x14ac:dyDescent="0.3">
      <c r="H31" s="20"/>
      <c r="I31" s="20"/>
      <c r="J31" s="20"/>
      <c r="K31" s="20"/>
      <c r="L31" s="20"/>
      <c r="P31" s="242"/>
      <c r="S31" s="21"/>
    </row>
    <row r="32" spans="2:23" s="19" customFormat="1" x14ac:dyDescent="0.3">
      <c r="H32" s="20"/>
      <c r="I32" s="20"/>
      <c r="J32" s="20"/>
      <c r="K32" s="20"/>
      <c r="L32" s="20"/>
      <c r="P32" s="242"/>
      <c r="S32" s="21"/>
    </row>
    <row r="33" spans="8:19" s="19" customFormat="1" x14ac:dyDescent="0.3">
      <c r="H33" s="20"/>
      <c r="I33" s="20"/>
      <c r="J33" s="20"/>
      <c r="K33" s="20"/>
      <c r="L33" s="20"/>
      <c r="P33" s="242"/>
      <c r="S33" s="21"/>
    </row>
    <row r="34" spans="8:19" s="19" customFormat="1" x14ac:dyDescent="0.3">
      <c r="H34" s="20"/>
      <c r="I34" s="20"/>
      <c r="J34" s="20"/>
      <c r="K34" s="20"/>
      <c r="L34" s="20"/>
      <c r="P34" s="242"/>
      <c r="S34" s="21"/>
    </row>
    <row r="35" spans="8:19" s="19" customFormat="1" x14ac:dyDescent="0.3">
      <c r="H35" s="20"/>
      <c r="I35" s="20"/>
      <c r="J35" s="20"/>
      <c r="K35" s="20"/>
      <c r="L35" s="20"/>
      <c r="P35" s="242"/>
      <c r="S35" s="21"/>
    </row>
    <row r="36" spans="8:19" s="19" customFormat="1" x14ac:dyDescent="0.3">
      <c r="H36" s="20"/>
      <c r="I36" s="20"/>
      <c r="J36" s="20"/>
      <c r="K36" s="20"/>
      <c r="L36" s="20"/>
      <c r="P36" s="242"/>
      <c r="S36" s="21"/>
    </row>
    <row r="37" spans="8:19" s="19" customFormat="1" x14ac:dyDescent="0.3">
      <c r="H37" s="20"/>
      <c r="I37" s="20"/>
      <c r="J37" s="20"/>
      <c r="K37" s="20"/>
      <c r="L37" s="20"/>
      <c r="P37" s="242"/>
      <c r="S37" s="21"/>
    </row>
    <row r="38" spans="8:19" s="19" customFormat="1" x14ac:dyDescent="0.3">
      <c r="H38" s="20"/>
      <c r="I38" s="20"/>
      <c r="J38" s="20"/>
      <c r="K38" s="20"/>
      <c r="L38" s="20"/>
      <c r="P38" s="242"/>
      <c r="S38" s="21"/>
    </row>
    <row r="39" spans="8:19" s="19" customFormat="1" x14ac:dyDescent="0.3">
      <c r="H39" s="20"/>
      <c r="I39" s="20"/>
      <c r="J39" s="20"/>
      <c r="K39" s="20"/>
      <c r="L39" s="20"/>
      <c r="P39" s="242"/>
      <c r="S39" s="21"/>
    </row>
    <row r="40" spans="8:19" s="19" customFormat="1" x14ac:dyDescent="0.3">
      <c r="H40" s="20"/>
      <c r="I40" s="20"/>
      <c r="J40" s="20"/>
      <c r="K40" s="20"/>
      <c r="L40" s="20"/>
      <c r="P40" s="242"/>
      <c r="S40" s="21"/>
    </row>
    <row r="41" spans="8:19" s="19" customFormat="1" x14ac:dyDescent="0.3">
      <c r="H41" s="20"/>
      <c r="I41" s="20"/>
      <c r="J41" s="20"/>
      <c r="K41" s="20"/>
      <c r="L41" s="20"/>
      <c r="P41" s="242"/>
      <c r="S41" s="21"/>
    </row>
    <row r="42" spans="8:19" s="19" customFormat="1" x14ac:dyDescent="0.3">
      <c r="H42" s="20"/>
      <c r="I42" s="20"/>
      <c r="J42" s="20"/>
      <c r="K42" s="20"/>
      <c r="L42" s="20"/>
      <c r="P42" s="242"/>
      <c r="S42" s="21"/>
    </row>
    <row r="43" spans="8:19" s="19" customFormat="1" x14ac:dyDescent="0.3">
      <c r="H43" s="20"/>
      <c r="I43" s="20"/>
      <c r="J43" s="20"/>
      <c r="K43" s="20"/>
      <c r="L43" s="20"/>
      <c r="P43" s="242"/>
      <c r="S43" s="21"/>
    </row>
    <row r="44" spans="8:19" s="19" customFormat="1" x14ac:dyDescent="0.3">
      <c r="H44" s="20"/>
      <c r="I44" s="20"/>
      <c r="J44" s="20"/>
      <c r="K44" s="20"/>
      <c r="L44" s="20"/>
      <c r="P44" s="242"/>
      <c r="S44" s="21"/>
    </row>
    <row r="45" spans="8:19" s="19" customFormat="1" x14ac:dyDescent="0.3">
      <c r="H45" s="20"/>
      <c r="I45" s="20"/>
      <c r="J45" s="20"/>
      <c r="K45" s="20"/>
      <c r="L45" s="20"/>
      <c r="P45" s="242"/>
      <c r="S45" s="21"/>
    </row>
    <row r="46" spans="8:19" s="19" customFormat="1" x14ac:dyDescent="0.3">
      <c r="H46" s="20"/>
      <c r="I46" s="20"/>
      <c r="J46" s="20"/>
      <c r="K46" s="20"/>
      <c r="L46" s="20"/>
      <c r="P46" s="242"/>
      <c r="S46" s="21"/>
    </row>
    <row r="47" spans="8:19" s="19" customFormat="1" x14ac:dyDescent="0.3">
      <c r="H47" s="20"/>
      <c r="I47" s="20"/>
      <c r="J47" s="20"/>
      <c r="K47" s="20"/>
      <c r="L47" s="20"/>
      <c r="P47" s="242"/>
      <c r="S47" s="21"/>
    </row>
    <row r="48" spans="8:19" s="19" customFormat="1" x14ac:dyDescent="0.3">
      <c r="H48" s="20"/>
      <c r="I48" s="20"/>
      <c r="J48" s="20"/>
      <c r="K48" s="20"/>
      <c r="L48" s="20"/>
      <c r="P48" s="242"/>
      <c r="S48" s="21"/>
    </row>
    <row r="49" spans="8:19" s="19" customFormat="1" x14ac:dyDescent="0.3">
      <c r="H49" s="20"/>
      <c r="I49" s="20"/>
      <c r="J49" s="20"/>
      <c r="K49" s="20"/>
      <c r="L49" s="20"/>
      <c r="P49" s="242"/>
      <c r="S49" s="21"/>
    </row>
    <row r="50" spans="8:19" s="19" customFormat="1" x14ac:dyDescent="0.3">
      <c r="H50" s="20"/>
      <c r="I50" s="20"/>
      <c r="J50" s="20"/>
      <c r="K50" s="20"/>
      <c r="L50" s="20"/>
      <c r="P50" s="242"/>
      <c r="S50" s="21"/>
    </row>
    <row r="51" spans="8:19" s="19" customFormat="1" x14ac:dyDescent="0.3">
      <c r="H51" s="20"/>
      <c r="I51" s="20"/>
      <c r="J51" s="20"/>
      <c r="K51" s="20"/>
      <c r="L51" s="20"/>
      <c r="P51" s="242"/>
      <c r="S51" s="21"/>
    </row>
    <row r="52" spans="8:19" s="19" customFormat="1" x14ac:dyDescent="0.3">
      <c r="H52" s="20"/>
      <c r="I52" s="20"/>
      <c r="J52" s="20"/>
      <c r="K52" s="20"/>
      <c r="L52" s="20"/>
      <c r="P52" s="242"/>
      <c r="S52" s="21"/>
    </row>
    <row r="53" spans="8:19" s="19" customFormat="1" x14ac:dyDescent="0.3">
      <c r="H53" s="20"/>
      <c r="I53" s="20"/>
      <c r="J53" s="20"/>
      <c r="K53" s="20"/>
      <c r="L53" s="20"/>
      <c r="P53" s="242"/>
      <c r="S53" s="21"/>
    </row>
    <row r="54" spans="8:19" s="19" customFormat="1" x14ac:dyDescent="0.3">
      <c r="H54" s="20"/>
      <c r="I54" s="20"/>
      <c r="J54" s="20"/>
      <c r="K54" s="20"/>
      <c r="L54" s="20"/>
      <c r="P54" s="242"/>
      <c r="S54" s="21"/>
    </row>
    <row r="55" spans="8:19" s="19" customFormat="1" x14ac:dyDescent="0.3">
      <c r="H55" s="20"/>
      <c r="I55" s="20"/>
      <c r="J55" s="20"/>
      <c r="K55" s="20"/>
      <c r="L55" s="20"/>
      <c r="P55" s="242"/>
      <c r="S55" s="21"/>
    </row>
    <row r="56" spans="8:19" s="19" customFormat="1" x14ac:dyDescent="0.3">
      <c r="H56" s="20"/>
      <c r="I56" s="20"/>
      <c r="J56" s="20"/>
      <c r="K56" s="20"/>
      <c r="L56" s="20"/>
      <c r="P56" s="242"/>
      <c r="S56" s="21"/>
    </row>
    <row r="57" spans="8:19" s="19" customFormat="1" x14ac:dyDescent="0.3">
      <c r="H57" s="20"/>
      <c r="I57" s="20"/>
      <c r="J57" s="20"/>
      <c r="K57" s="20"/>
      <c r="L57" s="20"/>
      <c r="P57" s="242"/>
      <c r="S57" s="21"/>
    </row>
    <row r="58" spans="8:19" s="19" customFormat="1" x14ac:dyDescent="0.3">
      <c r="H58" s="20"/>
      <c r="I58" s="20"/>
      <c r="J58" s="20"/>
      <c r="K58" s="20"/>
      <c r="L58" s="20"/>
      <c r="P58" s="242"/>
      <c r="S58" s="21"/>
    </row>
    <row r="59" spans="8:19" s="19" customFormat="1" x14ac:dyDescent="0.3">
      <c r="H59" s="20"/>
      <c r="I59" s="20"/>
      <c r="J59" s="20"/>
      <c r="K59" s="20"/>
      <c r="L59" s="20"/>
      <c r="P59" s="242"/>
      <c r="S59" s="21"/>
    </row>
    <row r="60" spans="8:19" s="19" customFormat="1" x14ac:dyDescent="0.3">
      <c r="H60" s="20"/>
      <c r="I60" s="20"/>
      <c r="J60" s="20"/>
      <c r="K60" s="20"/>
      <c r="L60" s="20"/>
      <c r="P60" s="242"/>
      <c r="S60" s="21"/>
    </row>
    <row r="61" spans="8:19" s="19" customFormat="1" x14ac:dyDescent="0.3">
      <c r="H61" s="20"/>
      <c r="I61" s="20"/>
      <c r="J61" s="20"/>
      <c r="K61" s="20"/>
      <c r="L61" s="20"/>
      <c r="P61" s="242"/>
      <c r="S61" s="21"/>
    </row>
    <row r="62" spans="8:19" s="19" customFormat="1" x14ac:dyDescent="0.3">
      <c r="H62" s="20"/>
      <c r="I62" s="20"/>
      <c r="J62" s="20"/>
      <c r="K62" s="20"/>
      <c r="L62" s="20"/>
      <c r="P62" s="242"/>
      <c r="S62" s="21"/>
    </row>
    <row r="63" spans="8:19" s="19" customFormat="1" x14ac:dyDescent="0.3">
      <c r="H63" s="20"/>
      <c r="I63" s="20"/>
      <c r="J63" s="20"/>
      <c r="K63" s="20"/>
      <c r="L63" s="20"/>
      <c r="P63" s="242"/>
      <c r="S63" s="21"/>
    </row>
    <row r="64" spans="8:19" s="19" customFormat="1" x14ac:dyDescent="0.3">
      <c r="H64" s="20"/>
      <c r="I64" s="20"/>
      <c r="J64" s="20"/>
      <c r="K64" s="20"/>
      <c r="L64" s="20"/>
      <c r="P64" s="242"/>
      <c r="S64" s="21"/>
    </row>
    <row r="65" spans="8:19" s="19" customFormat="1" x14ac:dyDescent="0.3">
      <c r="H65" s="20"/>
      <c r="I65" s="20"/>
      <c r="J65" s="20"/>
      <c r="K65" s="20"/>
      <c r="L65" s="20"/>
      <c r="P65" s="242"/>
      <c r="S65" s="21"/>
    </row>
    <row r="66" spans="8:19" s="19" customFormat="1" x14ac:dyDescent="0.3">
      <c r="H66" s="20"/>
      <c r="I66" s="20"/>
      <c r="J66" s="20"/>
      <c r="K66" s="20"/>
      <c r="L66" s="20"/>
      <c r="P66" s="242"/>
      <c r="S66" s="21"/>
    </row>
  </sheetData>
  <mergeCells count="6">
    <mergeCell ref="T11:U11"/>
    <mergeCell ref="D3:L3"/>
    <mergeCell ref="T3:W3"/>
    <mergeCell ref="T4:W8"/>
    <mergeCell ref="D5:L5"/>
    <mergeCell ref="D6:H6"/>
  </mergeCells>
  <hyperlinks>
    <hyperlink ref="C13" location="Summary!A1" display="YEAR 2A: Long Yearling to Finished Steer USDA Inspected" xr:uid="{00000000-0004-0000-0000-000001000000}"/>
    <hyperlink ref="C14" location="'Selling steers locker beef'!A1" display="PHASE 2B: Long Yearling to Finished Steer Locker Beef" xr:uid="{5832FAF0-ECEA-4FA8-B070-C2E1CB0B9FEF}"/>
    <hyperlink ref="C12" location="'Yearling budget'!A1" display="YEAR 1: Yearling Budget" xr:uid="{C98DFC03-2743-4BE5-963B-33CD7A550C53}"/>
  </hyperlinks>
  <pageMargins left="1.1000000000000001" right="0.75" top="0.55000000000000004" bottom="0.53" header="0.5" footer="0.5"/>
  <pageSetup scale="49" orientation="landscape" r:id="rId1"/>
  <headerFooter alignWithMargins="0"/>
  <rowBreaks count="1" manualBreakCount="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B106"/>
  <sheetViews>
    <sheetView topLeftCell="A12" zoomScale="94" zoomScaleNormal="94" zoomScaleSheetLayoutView="50" workbookViewId="0">
      <selection activeCell="G30" sqref="G30"/>
    </sheetView>
  </sheetViews>
  <sheetFormatPr defaultColWidth="9" defaultRowHeight="17.399999999999999" x14ac:dyDescent="0.3"/>
  <cols>
    <col min="1" max="1" width="2.5" style="99" customWidth="1"/>
    <col min="2" max="2" width="1.19921875" style="105" customWidth="1"/>
    <col min="3" max="3" width="31.3984375" style="105" customWidth="1"/>
    <col min="4" max="4" width="1.19921875" style="105" customWidth="1"/>
    <col min="5" max="5" width="30.796875" style="105" customWidth="1"/>
    <col min="6" max="6" width="1.19921875" style="105" customWidth="1"/>
    <col min="7" max="7" width="12.5" style="194" customWidth="1"/>
    <col min="8" max="8" width="1.19921875" style="194" customWidth="1"/>
    <col min="9" max="9" width="16.5" style="194" customWidth="1"/>
    <col min="10" max="10" width="1.19921875" style="194" customWidth="1"/>
    <col min="11" max="11" width="12.5" style="194" customWidth="1"/>
    <col min="12" max="12" width="1.19921875" style="105" customWidth="1"/>
    <col min="13" max="14" width="17.5" style="105" customWidth="1"/>
    <col min="15" max="15" width="1.8984375" style="105" customWidth="1"/>
    <col min="16" max="16" width="1.8984375" style="99" customWidth="1"/>
    <col min="17" max="17" width="9" style="99"/>
    <col min="18" max="18" width="19.59765625" style="99" bestFit="1" customWidth="1"/>
    <col min="19" max="28" width="9" style="99"/>
    <col min="29" max="16384" width="9" style="105"/>
  </cols>
  <sheetData>
    <row r="1" spans="2:20" s="99" customFormat="1" ht="15" customHeight="1" thickBot="1" x14ac:dyDescent="0.35">
      <c r="G1" s="100"/>
      <c r="H1" s="100"/>
      <c r="I1" s="100"/>
      <c r="J1" s="100"/>
      <c r="K1" s="100"/>
    </row>
    <row r="2" spans="2:20" ht="7.5" customHeight="1" x14ac:dyDescent="0.3">
      <c r="B2" s="101"/>
      <c r="C2" s="102"/>
      <c r="D2" s="102"/>
      <c r="E2" s="102"/>
      <c r="F2" s="102"/>
      <c r="G2" s="103"/>
      <c r="H2" s="103"/>
      <c r="I2" s="103"/>
      <c r="J2" s="103"/>
      <c r="K2" s="103"/>
      <c r="L2" s="102"/>
      <c r="M2" s="102"/>
      <c r="N2" s="102"/>
      <c r="O2" s="104"/>
      <c r="Q2" s="105"/>
      <c r="R2" s="106"/>
      <c r="S2" s="106"/>
      <c r="T2" s="106"/>
    </row>
    <row r="3" spans="2:20" ht="30" customHeight="1" thickBot="1" x14ac:dyDescent="0.35">
      <c r="B3" s="107"/>
      <c r="C3" s="289" t="s">
        <v>51</v>
      </c>
      <c r="D3" s="289"/>
      <c r="E3" s="289"/>
      <c r="F3" s="289"/>
      <c r="G3" s="289"/>
      <c r="H3" s="289"/>
      <c r="I3" s="289"/>
      <c r="J3" s="289"/>
      <c r="K3" s="289"/>
      <c r="L3" s="108"/>
      <c r="M3" s="109" t="s">
        <v>50</v>
      </c>
      <c r="N3" s="110">
        <v>2018</v>
      </c>
      <c r="O3" s="111"/>
      <c r="Q3" s="290" t="s">
        <v>53</v>
      </c>
      <c r="R3" s="290"/>
      <c r="S3" s="290"/>
      <c r="T3" s="290"/>
    </row>
    <row r="4" spans="2:20" ht="7.5" customHeight="1" x14ac:dyDescent="0.3">
      <c r="B4" s="107"/>
      <c r="C4" s="112"/>
      <c r="D4" s="112"/>
      <c r="E4" s="112"/>
      <c r="F4" s="112"/>
      <c r="G4" s="112"/>
      <c r="H4" s="112"/>
      <c r="I4" s="112"/>
      <c r="J4" s="112"/>
      <c r="K4" s="112"/>
      <c r="L4" s="108"/>
      <c r="M4" s="109"/>
      <c r="N4" s="113"/>
      <c r="O4" s="111"/>
      <c r="Q4" s="291" t="s">
        <v>52</v>
      </c>
      <c r="R4" s="292"/>
      <c r="S4" s="292"/>
      <c r="T4" s="293"/>
    </row>
    <row r="5" spans="2:20" ht="30" customHeight="1" x14ac:dyDescent="0.3">
      <c r="B5" s="114"/>
      <c r="C5" s="300" t="s">
        <v>124</v>
      </c>
      <c r="D5" s="301"/>
      <c r="E5" s="301"/>
      <c r="F5" s="301"/>
      <c r="G5" s="301"/>
      <c r="H5" s="301"/>
      <c r="I5" s="301"/>
      <c r="J5" s="301"/>
      <c r="K5" s="302"/>
      <c r="L5" s="108"/>
      <c r="M5" s="109" t="s">
        <v>48</v>
      </c>
      <c r="N5" s="110">
        <v>50</v>
      </c>
      <c r="O5" s="115"/>
      <c r="P5" s="116"/>
      <c r="Q5" s="294"/>
      <c r="R5" s="295"/>
      <c r="S5" s="295"/>
      <c r="T5" s="296"/>
    </row>
    <row r="6" spans="2:20" ht="7.5" customHeight="1" x14ac:dyDescent="0.3">
      <c r="B6" s="117"/>
      <c r="C6" s="303"/>
      <c r="D6" s="303"/>
      <c r="E6" s="304"/>
      <c r="F6" s="304"/>
      <c r="G6" s="304"/>
      <c r="H6" s="118"/>
      <c r="I6" s="119"/>
      <c r="J6" s="119"/>
      <c r="K6" s="119"/>
      <c r="L6" s="118"/>
      <c r="M6" s="118"/>
      <c r="N6" s="118"/>
      <c r="O6" s="120"/>
      <c r="Q6" s="294"/>
      <c r="R6" s="295"/>
      <c r="S6" s="295"/>
      <c r="T6" s="296"/>
    </row>
    <row r="7" spans="2:20" ht="22.5" customHeight="1" x14ac:dyDescent="0.3">
      <c r="B7" s="107"/>
      <c r="C7" s="121"/>
      <c r="D7" s="121"/>
      <c r="E7" s="122"/>
      <c r="F7" s="122"/>
      <c r="G7" s="123"/>
      <c r="H7" s="123"/>
      <c r="I7" s="121" t="s">
        <v>9</v>
      </c>
      <c r="J7" s="121"/>
      <c r="K7" s="124"/>
      <c r="L7" s="124"/>
      <c r="M7" s="125"/>
      <c r="N7" s="126"/>
      <c r="O7" s="127"/>
      <c r="P7" s="128"/>
      <c r="Q7" s="294"/>
      <c r="R7" s="295"/>
      <c r="S7" s="295"/>
      <c r="T7" s="296"/>
    </row>
    <row r="8" spans="2:20" ht="22.5" customHeight="1" thickBot="1" x14ac:dyDescent="0.35">
      <c r="B8" s="107"/>
      <c r="C8" s="129"/>
      <c r="D8" s="129"/>
      <c r="E8" s="130" t="s">
        <v>8</v>
      </c>
      <c r="F8" s="130"/>
      <c r="G8" s="130"/>
      <c r="H8" s="130"/>
      <c r="I8" s="130" t="s">
        <v>7</v>
      </c>
      <c r="J8" s="130"/>
      <c r="K8" s="130" t="s">
        <v>2</v>
      </c>
      <c r="L8" s="130"/>
      <c r="M8" s="131" t="s">
        <v>11</v>
      </c>
      <c r="N8" s="131" t="s">
        <v>1</v>
      </c>
      <c r="O8" s="132"/>
      <c r="P8" s="133"/>
      <c r="Q8" s="297"/>
      <c r="R8" s="298"/>
      <c r="S8" s="298"/>
      <c r="T8" s="299"/>
    </row>
    <row r="9" spans="2:20" ht="22.5" customHeight="1" thickBot="1" x14ac:dyDescent="0.35">
      <c r="B9" s="107"/>
      <c r="C9" s="134"/>
      <c r="D9" s="134"/>
      <c r="E9" s="135" t="s">
        <v>6</v>
      </c>
      <c r="F9" s="135"/>
      <c r="G9" s="136" t="s">
        <v>0</v>
      </c>
      <c r="H9" s="136"/>
      <c r="I9" s="136" t="s">
        <v>10</v>
      </c>
      <c r="J9" s="136"/>
      <c r="K9" s="136" t="s">
        <v>5</v>
      </c>
      <c r="L9" s="136"/>
      <c r="M9" s="137" t="s">
        <v>12</v>
      </c>
      <c r="N9" s="137" t="s">
        <v>4</v>
      </c>
      <c r="O9" s="132"/>
      <c r="P9" s="133"/>
      <c r="Q9" s="138"/>
      <c r="R9" s="138"/>
    </row>
    <row r="10" spans="2:20" ht="22.5" customHeight="1" thickBot="1" x14ac:dyDescent="0.35">
      <c r="B10" s="107"/>
      <c r="C10" s="139" t="s">
        <v>20</v>
      </c>
      <c r="D10" s="140"/>
      <c r="E10" s="141"/>
      <c r="F10" s="141"/>
      <c r="G10" s="142"/>
      <c r="H10" s="142"/>
      <c r="I10" s="142"/>
      <c r="J10" s="142"/>
      <c r="K10" s="142"/>
      <c r="L10" s="141"/>
      <c r="M10" s="143"/>
      <c r="N10" s="143"/>
      <c r="O10" s="111"/>
      <c r="Q10" s="305" t="s">
        <v>47</v>
      </c>
      <c r="R10" s="305"/>
    </row>
    <row r="11" spans="2:20" ht="22.5" customHeight="1" x14ac:dyDescent="0.3">
      <c r="B11" s="107"/>
      <c r="C11" s="1" t="s">
        <v>34</v>
      </c>
      <c r="D11" s="141"/>
      <c r="E11" s="2">
        <v>575</v>
      </c>
      <c r="F11" s="144"/>
      <c r="G11" s="3" t="s">
        <v>13</v>
      </c>
      <c r="H11" s="142"/>
      <c r="I11" s="3">
        <v>24</v>
      </c>
      <c r="J11" s="142"/>
      <c r="K11" s="4">
        <v>1.7</v>
      </c>
      <c r="L11" s="145"/>
      <c r="M11" s="146">
        <f>E11*I11*K11</f>
        <v>23460</v>
      </c>
      <c r="N11" s="147">
        <f>M11/$N$5</f>
        <v>469.2</v>
      </c>
      <c r="O11" s="148"/>
      <c r="P11" s="149"/>
      <c r="Q11" s="53">
        <v>50</v>
      </c>
      <c r="R11" s="57" t="s">
        <v>36</v>
      </c>
    </row>
    <row r="12" spans="2:20" ht="22.5" customHeight="1" x14ac:dyDescent="0.3">
      <c r="B12" s="107"/>
      <c r="C12" s="5" t="s">
        <v>35</v>
      </c>
      <c r="D12" s="141"/>
      <c r="E12" s="2">
        <v>525</v>
      </c>
      <c r="F12" s="144"/>
      <c r="G12" s="3" t="s">
        <v>13</v>
      </c>
      <c r="H12" s="142"/>
      <c r="I12" s="3">
        <v>14</v>
      </c>
      <c r="J12" s="142"/>
      <c r="K12" s="4">
        <v>1.4</v>
      </c>
      <c r="L12" s="145"/>
      <c r="M12" s="146">
        <f>E12*I12*K12</f>
        <v>10290</v>
      </c>
      <c r="N12" s="147">
        <f>M12/$N$5</f>
        <v>205.8</v>
      </c>
      <c r="O12" s="148"/>
      <c r="P12" s="149"/>
      <c r="Q12" s="54">
        <v>2</v>
      </c>
      <c r="R12" s="58" t="s">
        <v>126</v>
      </c>
    </row>
    <row r="13" spans="2:20" ht="22.5" customHeight="1" x14ac:dyDescent="0.3">
      <c r="B13" s="107"/>
      <c r="C13" s="5" t="s">
        <v>95</v>
      </c>
      <c r="D13" s="141"/>
      <c r="E13" s="2">
        <v>1200</v>
      </c>
      <c r="F13" s="144"/>
      <c r="G13" s="3" t="s">
        <v>13</v>
      </c>
      <c r="H13" s="142"/>
      <c r="I13" s="3">
        <v>9</v>
      </c>
      <c r="J13" s="142"/>
      <c r="K13" s="4">
        <v>0.7</v>
      </c>
      <c r="L13" s="145"/>
      <c r="M13" s="146">
        <f>E13*I13*K13</f>
        <v>7559.9999999999991</v>
      </c>
      <c r="N13" s="147">
        <f>M13/$N$5</f>
        <v>151.19999999999999</v>
      </c>
      <c r="O13" s="148"/>
      <c r="P13" s="149"/>
      <c r="Q13" s="54">
        <v>0</v>
      </c>
      <c r="R13" s="58" t="s">
        <v>37</v>
      </c>
    </row>
    <row r="14" spans="2:20" ht="22.5" customHeight="1" x14ac:dyDescent="0.3">
      <c r="B14" s="107"/>
      <c r="C14" s="5" t="s">
        <v>96</v>
      </c>
      <c r="D14" s="141"/>
      <c r="E14" s="2">
        <v>1800</v>
      </c>
      <c r="F14" s="144"/>
      <c r="G14" s="3" t="s">
        <v>13</v>
      </c>
      <c r="H14" s="142"/>
      <c r="I14" s="3">
        <v>0.5</v>
      </c>
      <c r="J14" s="142"/>
      <c r="K14" s="4">
        <v>0.9</v>
      </c>
      <c r="L14" s="145"/>
      <c r="M14" s="146">
        <f>E14*I14*K14</f>
        <v>810</v>
      </c>
      <c r="N14" s="147">
        <f>M14/$N$5</f>
        <v>16.2</v>
      </c>
      <c r="O14" s="148"/>
      <c r="P14" s="149"/>
      <c r="Q14" s="55">
        <v>0.17</v>
      </c>
      <c r="R14" s="58" t="s">
        <v>40</v>
      </c>
    </row>
    <row r="15" spans="2:20" ht="22.5" customHeight="1" x14ac:dyDescent="0.3">
      <c r="B15" s="107"/>
      <c r="C15" s="5" t="s">
        <v>97</v>
      </c>
      <c r="D15" s="141"/>
      <c r="E15" s="2">
        <v>900</v>
      </c>
      <c r="F15" s="144"/>
      <c r="G15" s="3" t="s">
        <v>13</v>
      </c>
      <c r="H15" s="142"/>
      <c r="I15" s="3">
        <v>1</v>
      </c>
      <c r="J15" s="142"/>
      <c r="K15" s="4">
        <v>1.1499999999999999</v>
      </c>
      <c r="L15" s="145"/>
      <c r="M15" s="146">
        <f>E15*I15*K15</f>
        <v>1035</v>
      </c>
      <c r="N15" s="147">
        <f>M15/$N$5</f>
        <v>20.7</v>
      </c>
      <c r="O15" s="148"/>
      <c r="P15" s="149"/>
      <c r="Q15" s="55">
        <v>0.02</v>
      </c>
      <c r="R15" s="58" t="s">
        <v>38</v>
      </c>
    </row>
    <row r="16" spans="2:20" ht="22.5" customHeight="1" thickBot="1" x14ac:dyDescent="0.35">
      <c r="B16" s="107"/>
      <c r="C16" s="150" t="s">
        <v>19</v>
      </c>
      <c r="D16" s="150"/>
      <c r="E16" s="151"/>
      <c r="F16" s="151"/>
      <c r="G16" s="152"/>
      <c r="H16" s="152"/>
      <c r="I16" s="152"/>
      <c r="J16" s="152"/>
      <c r="K16" s="152"/>
      <c r="L16" s="151"/>
      <c r="M16" s="153">
        <f>SUM(M11:M15)</f>
        <v>43155</v>
      </c>
      <c r="N16" s="154">
        <f>SUM(N11:N15)</f>
        <v>863.10000000000014</v>
      </c>
      <c r="O16" s="155"/>
      <c r="P16" s="156"/>
      <c r="Q16" s="55">
        <v>0.96</v>
      </c>
      <c r="R16" s="58" t="s">
        <v>39</v>
      </c>
    </row>
    <row r="17" spans="2:18" ht="22.5" customHeight="1" thickBot="1" x14ac:dyDescent="0.35">
      <c r="B17" s="107"/>
      <c r="C17" s="141"/>
      <c r="D17" s="141"/>
      <c r="E17" s="141"/>
      <c r="F17" s="141"/>
      <c r="G17" s="142"/>
      <c r="H17" s="142"/>
      <c r="I17" s="142"/>
      <c r="J17" s="142"/>
      <c r="K17" s="142"/>
      <c r="L17" s="141"/>
      <c r="M17" s="157"/>
      <c r="N17" s="158"/>
      <c r="O17" s="148"/>
      <c r="P17" s="149"/>
      <c r="Q17" s="56">
        <v>0.16</v>
      </c>
      <c r="R17" s="59" t="s">
        <v>41</v>
      </c>
    </row>
    <row r="18" spans="2:18" ht="22.5" customHeight="1" thickBot="1" x14ac:dyDescent="0.35">
      <c r="B18" s="107"/>
      <c r="C18" s="150" t="s">
        <v>21</v>
      </c>
      <c r="D18" s="150"/>
      <c r="E18" s="151"/>
      <c r="F18" s="141"/>
      <c r="G18" s="142"/>
      <c r="H18" s="142"/>
      <c r="I18" s="142"/>
      <c r="J18" s="142"/>
      <c r="K18" s="142"/>
      <c r="L18" s="141"/>
      <c r="M18" s="159"/>
      <c r="N18" s="158"/>
      <c r="O18" s="148"/>
      <c r="P18" s="149"/>
    </row>
    <row r="19" spans="2:18" ht="22.5" customHeight="1" x14ac:dyDescent="0.3">
      <c r="B19" s="107"/>
      <c r="C19" s="306" t="s">
        <v>148</v>
      </c>
      <c r="D19" s="306"/>
      <c r="E19" s="306"/>
      <c r="F19" s="141"/>
      <c r="G19" s="3" t="s">
        <v>14</v>
      </c>
      <c r="H19" s="142"/>
      <c r="I19" s="6">
        <f>2.25*(head) + 2.7*2 + ((10*15*30*5)/2000)</f>
        <v>129.15</v>
      </c>
      <c r="J19" s="142"/>
      <c r="K19" s="7">
        <v>140</v>
      </c>
      <c r="L19" s="144"/>
      <c r="M19" s="146">
        <f>I19*K19</f>
        <v>18081</v>
      </c>
      <c r="N19" s="147">
        <f>M19/$N$5</f>
        <v>361.62</v>
      </c>
      <c r="O19" s="148"/>
      <c r="P19" s="149"/>
    </row>
    <row r="20" spans="2:18" ht="22.5" customHeight="1" x14ac:dyDescent="0.3">
      <c r="B20" s="107"/>
      <c r="C20" s="287" t="s">
        <v>56</v>
      </c>
      <c r="D20" s="287"/>
      <c r="E20" s="287"/>
      <c r="F20" s="141"/>
      <c r="G20" s="3" t="s">
        <v>15</v>
      </c>
      <c r="H20" s="142"/>
      <c r="I20" s="6">
        <f>7*head + 2*1.4</f>
        <v>352.8</v>
      </c>
      <c r="J20" s="142"/>
      <c r="K20" s="7">
        <v>25</v>
      </c>
      <c r="L20" s="144"/>
      <c r="M20" s="146">
        <f t="shared" ref="M20:M32" si="0">I20*K20</f>
        <v>8820</v>
      </c>
      <c r="N20" s="147">
        <f t="shared" ref="N20:N37" si="1">M20/$N$5</f>
        <v>176.4</v>
      </c>
      <c r="O20" s="148"/>
      <c r="P20" s="149"/>
      <c r="Q20" s="307"/>
      <c r="R20" s="307"/>
    </row>
    <row r="21" spans="2:18" ht="22.5" customHeight="1" x14ac:dyDescent="0.3">
      <c r="B21" s="107"/>
      <c r="C21" s="287" t="s">
        <v>28</v>
      </c>
      <c r="D21" s="287"/>
      <c r="E21" s="287"/>
      <c r="F21" s="141"/>
      <c r="G21" s="3" t="s">
        <v>16</v>
      </c>
      <c r="H21" s="142"/>
      <c r="I21" s="6">
        <f>head + 2</f>
        <v>52</v>
      </c>
      <c r="J21" s="142"/>
      <c r="K21" s="7">
        <v>30</v>
      </c>
      <c r="L21" s="144"/>
      <c r="M21" s="146">
        <f t="shared" si="0"/>
        <v>1560</v>
      </c>
      <c r="N21" s="147">
        <f t="shared" si="1"/>
        <v>31.2</v>
      </c>
      <c r="O21" s="148"/>
      <c r="P21" s="149"/>
    </row>
    <row r="22" spans="2:18" ht="22.5" customHeight="1" x14ac:dyDescent="0.3">
      <c r="B22" s="107"/>
      <c r="C22" s="287" t="s">
        <v>93</v>
      </c>
      <c r="D22" s="287"/>
      <c r="E22" s="287"/>
      <c r="F22" s="141"/>
      <c r="G22" s="3" t="s">
        <v>17</v>
      </c>
      <c r="H22" s="142"/>
      <c r="I22" s="6">
        <v>1</v>
      </c>
      <c r="J22" s="142"/>
      <c r="K22" s="7">
        <f>20*head + 25*2 + (head*0.96*10)</f>
        <v>1530</v>
      </c>
      <c r="L22" s="144"/>
      <c r="M22" s="146">
        <f t="shared" si="0"/>
        <v>1530</v>
      </c>
      <c r="N22" s="147">
        <f t="shared" si="1"/>
        <v>30.6</v>
      </c>
      <c r="O22" s="148"/>
      <c r="P22" s="149"/>
    </row>
    <row r="23" spans="2:18" ht="22.5" customHeight="1" x14ac:dyDescent="0.3">
      <c r="B23" s="107"/>
      <c r="C23" s="287" t="s">
        <v>54</v>
      </c>
      <c r="D23" s="287"/>
      <c r="E23" s="287"/>
      <c r="F23" s="141"/>
      <c r="G23" s="3" t="s">
        <v>16</v>
      </c>
      <c r="H23" s="142"/>
      <c r="I23" s="6">
        <v>50</v>
      </c>
      <c r="J23" s="142"/>
      <c r="K23" s="7">
        <v>8</v>
      </c>
      <c r="L23" s="144"/>
      <c r="M23" s="146">
        <f t="shared" si="0"/>
        <v>400</v>
      </c>
      <c r="N23" s="147">
        <f t="shared" si="1"/>
        <v>8</v>
      </c>
      <c r="O23" s="148"/>
      <c r="P23" s="149"/>
    </row>
    <row r="24" spans="2:18" ht="22.5" customHeight="1" x14ac:dyDescent="0.3">
      <c r="B24" s="107"/>
      <c r="C24" s="287" t="s">
        <v>55</v>
      </c>
      <c r="D24" s="287"/>
      <c r="E24" s="287"/>
      <c r="F24" s="141"/>
      <c r="G24" s="3" t="s">
        <v>16</v>
      </c>
      <c r="H24" s="142"/>
      <c r="I24" s="6">
        <v>47</v>
      </c>
      <c r="J24" s="142"/>
      <c r="K24" s="7">
        <v>10</v>
      </c>
      <c r="L24" s="144"/>
      <c r="M24" s="146">
        <f t="shared" si="0"/>
        <v>470</v>
      </c>
      <c r="N24" s="147">
        <f t="shared" si="1"/>
        <v>9.4</v>
      </c>
      <c r="O24" s="148"/>
      <c r="P24" s="149"/>
    </row>
    <row r="25" spans="2:18" ht="22.5" customHeight="1" x14ac:dyDescent="0.3">
      <c r="B25" s="107"/>
      <c r="C25" s="287" t="s">
        <v>30</v>
      </c>
      <c r="D25" s="287"/>
      <c r="E25" s="287"/>
      <c r="F25" s="141"/>
      <c r="G25" s="3" t="s">
        <v>18</v>
      </c>
      <c r="H25" s="142"/>
      <c r="I25" s="6">
        <v>0</v>
      </c>
      <c r="J25" s="142"/>
      <c r="K25" s="7">
        <v>13.82</v>
      </c>
      <c r="L25" s="144"/>
      <c r="M25" s="146">
        <f t="shared" si="0"/>
        <v>0</v>
      </c>
      <c r="N25" s="147">
        <f t="shared" si="1"/>
        <v>0</v>
      </c>
      <c r="O25" s="148"/>
      <c r="P25" s="149"/>
    </row>
    <row r="26" spans="2:18" ht="22.5" customHeight="1" x14ac:dyDescent="0.3">
      <c r="B26" s="107"/>
      <c r="C26" s="287" t="s">
        <v>129</v>
      </c>
      <c r="D26" s="287"/>
      <c r="E26" s="287"/>
      <c r="F26" s="141"/>
      <c r="G26" s="3" t="s">
        <v>18</v>
      </c>
      <c r="H26" s="142"/>
      <c r="I26" s="6">
        <f>2*365</f>
        <v>730</v>
      </c>
      <c r="J26" s="142"/>
      <c r="K26" s="7">
        <v>25</v>
      </c>
      <c r="L26" s="144"/>
      <c r="M26" s="146">
        <f t="shared" si="0"/>
        <v>18250</v>
      </c>
      <c r="N26" s="147">
        <f t="shared" si="1"/>
        <v>365</v>
      </c>
      <c r="O26" s="148"/>
      <c r="P26" s="149"/>
    </row>
    <row r="27" spans="2:18" ht="22.5" customHeight="1" x14ac:dyDescent="0.3">
      <c r="B27" s="107"/>
      <c r="C27" s="287" t="s">
        <v>130</v>
      </c>
      <c r="D27" s="287"/>
      <c r="E27" s="287"/>
      <c r="F27" s="141"/>
      <c r="G27" s="3" t="s">
        <v>16</v>
      </c>
      <c r="H27" s="142"/>
      <c r="I27" s="6">
        <v>9</v>
      </c>
      <c r="J27" s="142"/>
      <c r="K27" s="7">
        <v>22.92</v>
      </c>
      <c r="L27" s="144"/>
      <c r="M27" s="146">
        <f t="shared" si="0"/>
        <v>206.28000000000003</v>
      </c>
      <c r="N27" s="147">
        <f t="shared" si="1"/>
        <v>4.1256000000000004</v>
      </c>
      <c r="O27" s="148"/>
      <c r="P27" s="149"/>
    </row>
    <row r="28" spans="2:18" ht="22.5" customHeight="1" x14ac:dyDescent="0.3">
      <c r="B28" s="107"/>
      <c r="C28" s="288" t="s">
        <v>131</v>
      </c>
      <c r="D28" s="288"/>
      <c r="E28" s="288"/>
      <c r="F28" s="141"/>
      <c r="G28" s="3" t="s">
        <v>16</v>
      </c>
      <c r="H28" s="142"/>
      <c r="I28" s="6">
        <v>47</v>
      </c>
      <c r="J28" s="142"/>
      <c r="K28" s="7">
        <v>2.71</v>
      </c>
      <c r="L28" s="144"/>
      <c r="M28" s="146">
        <f t="shared" si="0"/>
        <v>127.37</v>
      </c>
      <c r="N28" s="147">
        <f t="shared" si="1"/>
        <v>2.5474000000000001</v>
      </c>
      <c r="O28" s="148"/>
      <c r="P28" s="149"/>
    </row>
    <row r="29" spans="2:18" ht="22.5" customHeight="1" x14ac:dyDescent="0.3">
      <c r="B29" s="107"/>
      <c r="C29" s="283"/>
      <c r="D29" s="284"/>
      <c r="E29" s="285"/>
      <c r="F29" s="141"/>
      <c r="G29" s="3"/>
      <c r="H29" s="142"/>
      <c r="I29" s="6"/>
      <c r="J29" s="142"/>
      <c r="K29" s="7"/>
      <c r="L29" s="144"/>
      <c r="M29" s="146">
        <f t="shared" si="0"/>
        <v>0</v>
      </c>
      <c r="N29" s="147">
        <f t="shared" si="1"/>
        <v>0</v>
      </c>
      <c r="O29" s="148"/>
      <c r="P29" s="149"/>
    </row>
    <row r="30" spans="2:18" ht="22.5" customHeight="1" x14ac:dyDescent="0.3">
      <c r="B30" s="107"/>
      <c r="C30" s="287"/>
      <c r="D30" s="287"/>
      <c r="E30" s="287"/>
      <c r="F30" s="141"/>
      <c r="G30" s="160"/>
      <c r="H30" s="142"/>
      <c r="I30" s="8"/>
      <c r="J30" s="142"/>
      <c r="K30" s="9"/>
      <c r="L30" s="144"/>
      <c r="M30" s="146">
        <f t="shared" si="0"/>
        <v>0</v>
      </c>
      <c r="N30" s="147">
        <f t="shared" si="1"/>
        <v>0</v>
      </c>
      <c r="O30" s="148"/>
      <c r="P30" s="149"/>
    </row>
    <row r="31" spans="2:18" ht="22.5" customHeight="1" x14ac:dyDescent="0.3">
      <c r="B31" s="107"/>
      <c r="C31" s="287"/>
      <c r="D31" s="287"/>
      <c r="E31" s="287"/>
      <c r="F31" s="141"/>
      <c r="G31" s="5"/>
      <c r="H31" s="141"/>
      <c r="I31" s="5"/>
      <c r="J31" s="141"/>
      <c r="K31" s="5"/>
      <c r="L31" s="144"/>
      <c r="M31" s="146">
        <f t="shared" si="0"/>
        <v>0</v>
      </c>
      <c r="N31" s="147">
        <f t="shared" si="1"/>
        <v>0</v>
      </c>
      <c r="O31" s="148"/>
      <c r="P31" s="149"/>
    </row>
    <row r="32" spans="2:18" ht="22.5" customHeight="1" x14ac:dyDescent="0.3">
      <c r="B32" s="107"/>
      <c r="C32" s="287"/>
      <c r="D32" s="287"/>
      <c r="E32" s="287"/>
      <c r="F32" s="141"/>
      <c r="G32" s="5"/>
      <c r="H32" s="141"/>
      <c r="I32" s="5"/>
      <c r="J32" s="141"/>
      <c r="K32" s="5"/>
      <c r="L32" s="144"/>
      <c r="M32" s="146">
        <f t="shared" si="0"/>
        <v>0</v>
      </c>
      <c r="N32" s="147">
        <f t="shared" si="1"/>
        <v>0</v>
      </c>
      <c r="O32" s="148"/>
      <c r="P32" s="149"/>
    </row>
    <row r="33" spans="2:16" ht="22.5" customHeight="1" x14ac:dyDescent="0.3">
      <c r="B33" s="107"/>
      <c r="C33" s="282" t="s">
        <v>42</v>
      </c>
      <c r="D33" s="282"/>
      <c r="E33" s="282"/>
      <c r="F33" s="141"/>
      <c r="G33" s="142"/>
      <c r="H33" s="142"/>
      <c r="I33" s="161"/>
      <c r="J33" s="142"/>
      <c r="K33" s="10">
        <v>5250</v>
      </c>
      <c r="L33" s="144"/>
      <c r="M33" s="146">
        <f>K33</f>
        <v>5250</v>
      </c>
      <c r="N33" s="147">
        <f t="shared" si="1"/>
        <v>105</v>
      </c>
      <c r="O33" s="148"/>
      <c r="P33" s="149"/>
    </row>
    <row r="34" spans="2:16" ht="22.5" customHeight="1" x14ac:dyDescent="0.3">
      <c r="B34" s="107"/>
      <c r="C34" s="282" t="s">
        <v>43</v>
      </c>
      <c r="D34" s="282"/>
      <c r="E34" s="282"/>
      <c r="F34" s="141"/>
      <c r="G34" s="142"/>
      <c r="H34" s="142"/>
      <c r="I34" s="161"/>
      <c r="J34" s="142"/>
      <c r="K34" s="7">
        <v>500</v>
      </c>
      <c r="L34" s="144"/>
      <c r="M34" s="146">
        <f>K34</f>
        <v>500</v>
      </c>
      <c r="N34" s="147">
        <f t="shared" si="1"/>
        <v>10</v>
      </c>
      <c r="O34" s="148"/>
      <c r="P34" s="149"/>
    </row>
    <row r="35" spans="2:16" ht="22.5" customHeight="1" x14ac:dyDescent="0.3">
      <c r="B35" s="107"/>
      <c r="C35" s="282" t="s">
        <v>44</v>
      </c>
      <c r="D35" s="282"/>
      <c r="E35" s="282"/>
      <c r="F35" s="141"/>
      <c r="G35" s="142"/>
      <c r="H35" s="142"/>
      <c r="I35" s="161"/>
      <c r="J35" s="142"/>
      <c r="K35" s="7">
        <v>200</v>
      </c>
      <c r="L35" s="144"/>
      <c r="M35" s="146">
        <f>K35</f>
        <v>200</v>
      </c>
      <c r="N35" s="147">
        <f t="shared" si="1"/>
        <v>4</v>
      </c>
      <c r="O35" s="148"/>
      <c r="P35" s="149"/>
    </row>
    <row r="36" spans="2:16" ht="22.5" customHeight="1" x14ac:dyDescent="0.3">
      <c r="B36" s="107"/>
      <c r="C36" s="162" t="s">
        <v>49</v>
      </c>
      <c r="D36" s="162"/>
      <c r="E36" s="162"/>
      <c r="F36" s="141"/>
      <c r="G36" s="142"/>
      <c r="H36" s="142"/>
      <c r="I36" s="161"/>
      <c r="J36" s="142"/>
      <c r="K36" s="7">
        <v>1000</v>
      </c>
      <c r="L36" s="144"/>
      <c r="M36" s="146">
        <f>K36</f>
        <v>1000</v>
      </c>
      <c r="N36" s="147">
        <f t="shared" si="1"/>
        <v>20</v>
      </c>
      <c r="O36" s="148"/>
      <c r="P36" s="149"/>
    </row>
    <row r="37" spans="2:16" ht="22.5" customHeight="1" x14ac:dyDescent="0.3">
      <c r="B37" s="107"/>
      <c r="C37" s="282" t="s">
        <v>29</v>
      </c>
      <c r="D37" s="282"/>
      <c r="E37" s="282"/>
      <c r="F37" s="141"/>
      <c r="G37" s="142"/>
      <c r="H37" s="142"/>
      <c r="I37" s="11">
        <v>8000</v>
      </c>
      <c r="J37" s="163"/>
      <c r="K37" s="12">
        <v>5.7500000000000002E-2</v>
      </c>
      <c r="L37" s="164"/>
      <c r="M37" s="146">
        <f>I37*K37</f>
        <v>460</v>
      </c>
      <c r="N37" s="147">
        <f t="shared" si="1"/>
        <v>9.1999999999999993</v>
      </c>
      <c r="O37" s="148"/>
      <c r="P37" s="149"/>
    </row>
    <row r="38" spans="2:16" ht="22.5" customHeight="1" thickBot="1" x14ac:dyDescent="0.35">
      <c r="B38" s="107"/>
      <c r="C38" s="150" t="s">
        <v>22</v>
      </c>
      <c r="D38" s="150"/>
      <c r="E38" s="151"/>
      <c r="F38" s="151"/>
      <c r="G38" s="152"/>
      <c r="H38" s="152"/>
      <c r="I38" s="152"/>
      <c r="J38" s="152"/>
      <c r="K38" s="165"/>
      <c r="L38" s="166"/>
      <c r="M38" s="167">
        <f>SUM(M19:M37)</f>
        <v>56854.65</v>
      </c>
      <c r="N38" s="168">
        <f>M38/$N$5</f>
        <v>1137.0930000000001</v>
      </c>
      <c r="O38" s="169"/>
      <c r="P38" s="170"/>
    </row>
    <row r="39" spans="2:16" ht="22.5" customHeight="1" x14ac:dyDescent="0.3">
      <c r="B39" s="107"/>
      <c r="C39" s="102"/>
      <c r="D39" s="102"/>
      <c r="E39" s="102"/>
      <c r="F39" s="102"/>
      <c r="G39" s="103"/>
      <c r="H39" s="103"/>
      <c r="I39" s="103"/>
      <c r="J39" s="103"/>
      <c r="K39" s="171"/>
      <c r="L39" s="172"/>
      <c r="M39" s="173"/>
      <c r="N39" s="174"/>
      <c r="O39" s="148"/>
      <c r="P39" s="149"/>
    </row>
    <row r="40" spans="2:16" ht="22.5" customHeight="1" thickBot="1" x14ac:dyDescent="0.35">
      <c r="B40" s="107"/>
      <c r="C40" s="150" t="s">
        <v>23</v>
      </c>
      <c r="D40" s="150"/>
      <c r="E40" s="151"/>
      <c r="F40" s="151"/>
      <c r="G40" s="152"/>
      <c r="H40" s="152"/>
      <c r="I40" s="152"/>
      <c r="J40" s="152"/>
      <c r="K40" s="165"/>
      <c r="L40" s="166"/>
      <c r="M40" s="175">
        <f>M16-M38</f>
        <v>-13699.650000000001</v>
      </c>
      <c r="N40" s="168">
        <f>M40/$N$5</f>
        <v>-273.99300000000005</v>
      </c>
      <c r="O40" s="169"/>
      <c r="P40" s="170"/>
    </row>
    <row r="41" spans="2:16" ht="7.5" customHeight="1" x14ac:dyDescent="0.3">
      <c r="B41" s="107"/>
      <c r="C41" s="108"/>
      <c r="D41" s="108"/>
      <c r="E41" s="141"/>
      <c r="F41" s="141"/>
      <c r="G41" s="142"/>
      <c r="H41" s="142"/>
      <c r="I41" s="142"/>
      <c r="J41" s="142"/>
      <c r="K41" s="176"/>
      <c r="L41" s="144"/>
      <c r="M41" s="177"/>
      <c r="N41" s="178"/>
      <c r="O41" s="169"/>
      <c r="P41" s="170"/>
    </row>
    <row r="42" spans="2:16" s="99" customFormat="1" ht="22.5" customHeight="1" x14ac:dyDescent="0.3">
      <c r="B42" s="179"/>
      <c r="C42" s="180"/>
      <c r="D42" s="180"/>
      <c r="G42" s="100"/>
      <c r="H42" s="100"/>
      <c r="I42" s="100"/>
      <c r="J42" s="100"/>
      <c r="K42" s="181"/>
      <c r="L42" s="182"/>
      <c r="M42" s="183"/>
      <c r="N42" s="184"/>
      <c r="O42" s="185"/>
      <c r="P42" s="170"/>
    </row>
    <row r="43" spans="2:16" ht="7.5" customHeight="1" x14ac:dyDescent="0.3">
      <c r="B43" s="107"/>
      <c r="C43" s="141"/>
      <c r="D43" s="141"/>
      <c r="E43" s="141"/>
      <c r="F43" s="141"/>
      <c r="G43" s="142"/>
      <c r="H43" s="142"/>
      <c r="I43" s="142"/>
      <c r="J43" s="142"/>
      <c r="K43" s="176"/>
      <c r="L43" s="144"/>
      <c r="M43" s="186"/>
      <c r="N43" s="187"/>
      <c r="O43" s="148"/>
      <c r="P43" s="149"/>
    </row>
    <row r="44" spans="2:16" ht="22.5" customHeight="1" thickBot="1" x14ac:dyDescent="0.35">
      <c r="B44" s="107"/>
      <c r="C44" s="150" t="s">
        <v>24</v>
      </c>
      <c r="D44" s="150"/>
      <c r="E44" s="188"/>
      <c r="F44" s="141"/>
      <c r="G44" s="142"/>
      <c r="H44" s="142"/>
      <c r="I44" s="142"/>
      <c r="J44" s="142"/>
      <c r="K44" s="176"/>
      <c r="L44" s="144"/>
      <c r="M44" s="186"/>
      <c r="N44" s="187"/>
      <c r="O44" s="148"/>
      <c r="P44" s="149"/>
    </row>
    <row r="45" spans="2:16" ht="22.5" customHeight="1" x14ac:dyDescent="0.3">
      <c r="B45" s="107"/>
      <c r="C45" s="108" t="s">
        <v>3</v>
      </c>
      <c r="D45" s="108"/>
      <c r="E45" s="141"/>
      <c r="F45" s="141"/>
      <c r="G45" s="142"/>
      <c r="H45" s="142"/>
      <c r="I45" s="142"/>
      <c r="J45" s="142"/>
      <c r="K45" s="176"/>
      <c r="L45" s="144"/>
      <c r="M45" s="186"/>
      <c r="N45" s="187"/>
      <c r="O45" s="148"/>
      <c r="P45" s="149"/>
    </row>
    <row r="46" spans="2:16" ht="22.5" customHeight="1" x14ac:dyDescent="0.3">
      <c r="B46" s="107"/>
      <c r="C46" s="283" t="s">
        <v>46</v>
      </c>
      <c r="D46" s="284"/>
      <c r="E46" s="285"/>
      <c r="F46" s="141"/>
      <c r="G46" s="142"/>
      <c r="H46" s="142"/>
      <c r="I46" s="161"/>
      <c r="J46" s="142"/>
      <c r="K46" s="13"/>
      <c r="L46" s="144"/>
      <c r="M46" s="189">
        <f>K46</f>
        <v>0</v>
      </c>
      <c r="N46" s="147">
        <f t="shared" ref="N46:N52" si="2">M46/$N$5</f>
        <v>0</v>
      </c>
      <c r="O46" s="148"/>
      <c r="P46" s="149"/>
    </row>
    <row r="47" spans="2:16" ht="22.5" customHeight="1" x14ac:dyDescent="0.3">
      <c r="B47" s="107"/>
      <c r="C47" s="283" t="s">
        <v>88</v>
      </c>
      <c r="D47" s="284"/>
      <c r="E47" s="285"/>
      <c r="F47" s="141"/>
      <c r="G47" s="142"/>
      <c r="H47" s="142"/>
      <c r="I47" s="161"/>
      <c r="J47" s="142"/>
      <c r="K47" s="13">
        <f>'Capital Recovery'!L5</f>
        <v>6536.9059999999999</v>
      </c>
      <c r="L47" s="144"/>
      <c r="M47" s="189">
        <f>K47</f>
        <v>6536.9059999999999</v>
      </c>
      <c r="N47" s="147">
        <f t="shared" si="2"/>
        <v>130.73812000000001</v>
      </c>
      <c r="O47" s="148"/>
      <c r="P47" s="149"/>
    </row>
    <row r="48" spans="2:16" ht="22.5" customHeight="1" x14ac:dyDescent="0.3">
      <c r="B48" s="107"/>
      <c r="C48" s="283" t="s">
        <v>89</v>
      </c>
      <c r="D48" s="284"/>
      <c r="E48" s="285"/>
      <c r="F48" s="141"/>
      <c r="G48" s="142"/>
      <c r="H48" s="142"/>
      <c r="I48" s="161"/>
      <c r="J48" s="142"/>
      <c r="K48" s="13">
        <f>'Capital Recovery'!L11</f>
        <v>5529.9896209351646</v>
      </c>
      <c r="L48" s="144"/>
      <c r="M48" s="189">
        <f>K48</f>
        <v>5529.9896209351646</v>
      </c>
      <c r="N48" s="147">
        <f t="shared" si="2"/>
        <v>110.59979241870329</v>
      </c>
      <c r="O48" s="148"/>
      <c r="P48" s="149"/>
    </row>
    <row r="49" spans="2:16" ht="22.5" customHeight="1" x14ac:dyDescent="0.3">
      <c r="B49" s="107"/>
      <c r="C49" s="286" t="s">
        <v>31</v>
      </c>
      <c r="D49" s="286"/>
      <c r="E49" s="286"/>
      <c r="F49" s="141"/>
      <c r="G49" s="142"/>
      <c r="H49" s="142"/>
      <c r="I49" s="11">
        <f>'Capital Recovery'!D17</f>
        <v>66000</v>
      </c>
      <c r="J49" s="142"/>
      <c r="K49" s="14">
        <v>0.05</v>
      </c>
      <c r="L49" s="144"/>
      <c r="M49" s="189">
        <f>I49*K49</f>
        <v>3300</v>
      </c>
      <c r="N49" s="147">
        <f t="shared" si="2"/>
        <v>66</v>
      </c>
      <c r="O49" s="148"/>
      <c r="P49" s="149"/>
    </row>
    <row r="50" spans="2:16" ht="22.5" customHeight="1" x14ac:dyDescent="0.3">
      <c r="B50" s="107"/>
      <c r="C50" s="282" t="s">
        <v>32</v>
      </c>
      <c r="D50" s="282"/>
      <c r="E50" s="282"/>
      <c r="F50" s="141"/>
      <c r="G50" s="142"/>
      <c r="H50" s="142"/>
      <c r="I50" s="161"/>
      <c r="J50" s="163"/>
      <c r="K50" s="13">
        <v>0</v>
      </c>
      <c r="L50" s="144"/>
      <c r="M50" s="189">
        <f>K50</f>
        <v>0</v>
      </c>
      <c r="N50" s="147">
        <f t="shared" si="2"/>
        <v>0</v>
      </c>
      <c r="O50" s="148"/>
      <c r="P50" s="149"/>
    </row>
    <row r="51" spans="2:16" ht="22.5" customHeight="1" x14ac:dyDescent="0.3">
      <c r="B51" s="107"/>
      <c r="C51" s="282" t="s">
        <v>33</v>
      </c>
      <c r="D51" s="282"/>
      <c r="E51" s="282"/>
      <c r="F51" s="141"/>
      <c r="G51" s="142"/>
      <c r="H51" s="142"/>
      <c r="I51" s="161"/>
      <c r="J51" s="163"/>
      <c r="K51" s="13">
        <v>250</v>
      </c>
      <c r="L51" s="144"/>
      <c r="M51" s="189">
        <f>K51</f>
        <v>250</v>
      </c>
      <c r="N51" s="147">
        <f t="shared" si="2"/>
        <v>5</v>
      </c>
      <c r="O51" s="148"/>
      <c r="P51" s="149"/>
    </row>
    <row r="52" spans="2:16" ht="22.5" customHeight="1" thickBot="1" x14ac:dyDescent="0.35">
      <c r="B52" s="107"/>
      <c r="C52" s="150" t="s">
        <v>25</v>
      </c>
      <c r="D52" s="150"/>
      <c r="E52" s="151"/>
      <c r="F52" s="151"/>
      <c r="G52" s="152"/>
      <c r="H52" s="152"/>
      <c r="I52" s="152"/>
      <c r="J52" s="152"/>
      <c r="K52" s="152"/>
      <c r="L52" s="151"/>
      <c r="M52" s="167">
        <f>SUM(M46:M51)</f>
        <v>15616.895620935164</v>
      </c>
      <c r="N52" s="168">
        <f t="shared" si="2"/>
        <v>312.3379124187033</v>
      </c>
      <c r="O52" s="169"/>
      <c r="P52" s="170"/>
    </row>
    <row r="53" spans="2:16" ht="22.5" customHeight="1" x14ac:dyDescent="0.3">
      <c r="B53" s="107"/>
      <c r="C53" s="141"/>
      <c r="D53" s="141"/>
      <c r="E53" s="141"/>
      <c r="F53" s="141"/>
      <c r="G53" s="142"/>
      <c r="H53" s="142"/>
      <c r="I53" s="142"/>
      <c r="J53" s="142"/>
      <c r="K53" s="142"/>
      <c r="L53" s="141"/>
      <c r="M53" s="186"/>
      <c r="N53" s="190"/>
      <c r="O53" s="148"/>
      <c r="P53" s="149"/>
    </row>
    <row r="54" spans="2:16" ht="22.5" customHeight="1" thickBot="1" x14ac:dyDescent="0.35">
      <c r="B54" s="107"/>
      <c r="C54" s="150" t="s">
        <v>26</v>
      </c>
      <c r="D54" s="150"/>
      <c r="E54" s="151"/>
      <c r="F54" s="151"/>
      <c r="G54" s="152"/>
      <c r="H54" s="152"/>
      <c r="I54" s="152"/>
      <c r="J54" s="152"/>
      <c r="K54" s="152"/>
      <c r="L54" s="151"/>
      <c r="M54" s="175">
        <f>+M38+M52</f>
        <v>72471.545620935169</v>
      </c>
      <c r="N54" s="168">
        <f>M54/$N$5</f>
        <v>1449.4309124187034</v>
      </c>
      <c r="O54" s="169"/>
      <c r="P54" s="170"/>
    </row>
    <row r="55" spans="2:16" ht="22.5" customHeight="1" x14ac:dyDescent="0.3">
      <c r="B55" s="107"/>
      <c r="C55" s="102"/>
      <c r="D55" s="102"/>
      <c r="E55" s="102"/>
      <c r="F55" s="102"/>
      <c r="G55" s="103"/>
      <c r="H55" s="103"/>
      <c r="I55" s="103"/>
      <c r="J55" s="103"/>
      <c r="K55" s="103"/>
      <c r="L55" s="102"/>
      <c r="M55" s="173"/>
      <c r="N55" s="174"/>
      <c r="O55" s="148"/>
      <c r="P55" s="149"/>
    </row>
    <row r="56" spans="2:16" ht="22.5" customHeight="1" thickBot="1" x14ac:dyDescent="0.35">
      <c r="B56" s="107"/>
      <c r="C56" s="150" t="s">
        <v>27</v>
      </c>
      <c r="D56" s="150"/>
      <c r="E56" s="151"/>
      <c r="F56" s="151"/>
      <c r="G56" s="152"/>
      <c r="H56" s="152"/>
      <c r="I56" s="152"/>
      <c r="J56" s="152"/>
      <c r="K56" s="152"/>
      <c r="L56" s="151"/>
      <c r="M56" s="175">
        <f>M16-M54</f>
        <v>-29316.545620935169</v>
      </c>
      <c r="N56" s="191">
        <f>M56/$N$5</f>
        <v>-586.33091241870341</v>
      </c>
      <c r="O56" s="169"/>
      <c r="P56" s="170"/>
    </row>
    <row r="57" spans="2:16" ht="7.5" customHeight="1" thickBot="1" x14ac:dyDescent="0.35">
      <c r="B57" s="192"/>
      <c r="C57" s="151"/>
      <c r="D57" s="151"/>
      <c r="E57" s="151"/>
      <c r="F57" s="151"/>
      <c r="G57" s="152"/>
      <c r="H57" s="152"/>
      <c r="I57" s="152"/>
      <c r="J57" s="152"/>
      <c r="K57" s="152"/>
      <c r="L57" s="151"/>
      <c r="M57" s="151"/>
      <c r="N57" s="151"/>
      <c r="O57" s="193"/>
    </row>
    <row r="58" spans="2:16" s="99" customFormat="1" x14ac:dyDescent="0.3">
      <c r="G58" s="100"/>
      <c r="H58" s="100"/>
      <c r="I58" s="100"/>
      <c r="J58" s="100"/>
      <c r="K58" s="100"/>
    </row>
    <row r="59" spans="2:16" s="99" customFormat="1" ht="17.399999999999999" customHeight="1" x14ac:dyDescent="0.3">
      <c r="G59" s="100"/>
      <c r="H59" s="100"/>
      <c r="I59" s="100"/>
      <c r="J59" s="100"/>
      <c r="K59" s="100"/>
    </row>
    <row r="60" spans="2:16" s="99" customFormat="1" x14ac:dyDescent="0.3">
      <c r="G60" s="100"/>
      <c r="H60" s="100"/>
      <c r="I60" s="100"/>
      <c r="J60" s="100"/>
      <c r="K60" s="100"/>
    </row>
    <row r="61" spans="2:16" s="99" customFormat="1" x14ac:dyDescent="0.3">
      <c r="G61" s="100"/>
      <c r="H61" s="100"/>
      <c r="I61" s="100"/>
      <c r="J61" s="100"/>
      <c r="K61" s="100"/>
    </row>
    <row r="62" spans="2:16" s="99" customFormat="1" x14ac:dyDescent="0.3">
      <c r="G62" s="100"/>
      <c r="H62" s="100"/>
      <c r="I62" s="100"/>
      <c r="J62" s="100"/>
      <c r="K62" s="100"/>
    </row>
    <row r="63" spans="2:16" s="99" customFormat="1" x14ac:dyDescent="0.3">
      <c r="G63" s="100"/>
      <c r="H63" s="100"/>
      <c r="I63" s="100"/>
      <c r="J63" s="100"/>
      <c r="K63" s="100"/>
    </row>
    <row r="64" spans="2:16" s="99" customFormat="1" x14ac:dyDescent="0.3">
      <c r="G64" s="100"/>
      <c r="H64" s="100"/>
      <c r="I64" s="100"/>
      <c r="J64" s="100"/>
      <c r="K64" s="100"/>
    </row>
    <row r="65" spans="7:11" s="99" customFormat="1" x14ac:dyDescent="0.3">
      <c r="G65" s="100"/>
      <c r="H65" s="100"/>
      <c r="I65" s="100"/>
      <c r="J65" s="100"/>
      <c r="K65" s="100"/>
    </row>
    <row r="66" spans="7:11" s="99" customFormat="1" x14ac:dyDescent="0.3">
      <c r="G66" s="100"/>
      <c r="H66" s="100"/>
      <c r="I66" s="100"/>
      <c r="J66" s="100"/>
      <c r="K66" s="100"/>
    </row>
    <row r="67" spans="7:11" s="99" customFormat="1" x14ac:dyDescent="0.3">
      <c r="G67" s="100"/>
      <c r="H67" s="100"/>
      <c r="I67" s="100"/>
      <c r="J67" s="100"/>
      <c r="K67" s="100"/>
    </row>
    <row r="68" spans="7:11" s="99" customFormat="1" x14ac:dyDescent="0.3">
      <c r="G68" s="100"/>
      <c r="H68" s="100"/>
      <c r="I68" s="100"/>
      <c r="J68" s="100"/>
      <c r="K68" s="100"/>
    </row>
    <row r="69" spans="7:11" s="99" customFormat="1" x14ac:dyDescent="0.3">
      <c r="G69" s="100"/>
      <c r="H69" s="100"/>
      <c r="I69" s="100"/>
      <c r="J69" s="100"/>
      <c r="K69" s="100"/>
    </row>
    <row r="70" spans="7:11" s="99" customFormat="1" x14ac:dyDescent="0.3">
      <c r="G70" s="100"/>
      <c r="H70" s="100"/>
      <c r="I70" s="100"/>
      <c r="J70" s="100"/>
      <c r="K70" s="100"/>
    </row>
    <row r="71" spans="7:11" s="99" customFormat="1" x14ac:dyDescent="0.3">
      <c r="G71" s="100"/>
      <c r="H71" s="100"/>
      <c r="I71" s="100"/>
      <c r="J71" s="100"/>
      <c r="K71" s="100"/>
    </row>
    <row r="72" spans="7:11" s="99" customFormat="1" x14ac:dyDescent="0.3">
      <c r="G72" s="100"/>
      <c r="H72" s="100"/>
      <c r="I72" s="100"/>
      <c r="J72" s="100"/>
      <c r="K72" s="100"/>
    </row>
    <row r="73" spans="7:11" s="99" customFormat="1" x14ac:dyDescent="0.3">
      <c r="G73" s="100"/>
      <c r="H73" s="100"/>
      <c r="I73" s="100"/>
      <c r="J73" s="100"/>
      <c r="K73" s="100"/>
    </row>
    <row r="74" spans="7:11" s="99" customFormat="1" x14ac:dyDescent="0.3">
      <c r="G74" s="100"/>
      <c r="H74" s="100"/>
      <c r="I74" s="100"/>
      <c r="J74" s="100"/>
      <c r="K74" s="100"/>
    </row>
    <row r="75" spans="7:11" s="99" customFormat="1" x14ac:dyDescent="0.3">
      <c r="G75" s="100"/>
      <c r="H75" s="100"/>
      <c r="I75" s="100"/>
      <c r="J75" s="100"/>
      <c r="K75" s="100"/>
    </row>
    <row r="76" spans="7:11" s="99" customFormat="1" x14ac:dyDescent="0.3">
      <c r="G76" s="100"/>
      <c r="H76" s="100"/>
      <c r="I76" s="100"/>
      <c r="J76" s="100"/>
      <c r="K76" s="100"/>
    </row>
    <row r="77" spans="7:11" s="99" customFormat="1" x14ac:dyDescent="0.3">
      <c r="G77" s="100"/>
      <c r="H77" s="100"/>
      <c r="I77" s="100"/>
      <c r="J77" s="100"/>
      <c r="K77" s="100"/>
    </row>
    <row r="78" spans="7:11" s="99" customFormat="1" x14ac:dyDescent="0.3">
      <c r="G78" s="100"/>
      <c r="H78" s="100"/>
      <c r="I78" s="100"/>
      <c r="J78" s="100"/>
      <c r="K78" s="100"/>
    </row>
    <row r="79" spans="7:11" s="99" customFormat="1" x14ac:dyDescent="0.3">
      <c r="G79" s="100"/>
      <c r="H79" s="100"/>
      <c r="I79" s="100"/>
      <c r="J79" s="100"/>
      <c r="K79" s="100"/>
    </row>
    <row r="80" spans="7:11" s="99" customFormat="1" x14ac:dyDescent="0.3">
      <c r="G80" s="100"/>
      <c r="H80" s="100"/>
      <c r="I80" s="100"/>
      <c r="J80" s="100"/>
      <c r="K80" s="100"/>
    </row>
    <row r="81" spans="7:11" s="99" customFormat="1" x14ac:dyDescent="0.3">
      <c r="G81" s="100"/>
      <c r="H81" s="100"/>
      <c r="I81" s="100"/>
      <c r="J81" s="100"/>
      <c r="K81" s="100"/>
    </row>
    <row r="82" spans="7:11" s="99" customFormat="1" x14ac:dyDescent="0.3">
      <c r="G82" s="100"/>
      <c r="H82" s="100"/>
      <c r="I82" s="100"/>
      <c r="J82" s="100"/>
      <c r="K82" s="100"/>
    </row>
    <row r="83" spans="7:11" s="99" customFormat="1" x14ac:dyDescent="0.3">
      <c r="G83" s="100"/>
      <c r="H83" s="100"/>
      <c r="I83" s="100"/>
      <c r="J83" s="100"/>
      <c r="K83" s="100"/>
    </row>
    <row r="84" spans="7:11" s="99" customFormat="1" x14ac:dyDescent="0.3">
      <c r="G84" s="100"/>
      <c r="H84" s="100"/>
      <c r="I84" s="100"/>
      <c r="J84" s="100"/>
      <c r="K84" s="100"/>
    </row>
    <row r="85" spans="7:11" s="99" customFormat="1" x14ac:dyDescent="0.3">
      <c r="G85" s="100"/>
      <c r="H85" s="100"/>
      <c r="I85" s="100"/>
      <c r="J85" s="100"/>
      <c r="K85" s="100"/>
    </row>
    <row r="86" spans="7:11" s="99" customFormat="1" x14ac:dyDescent="0.3">
      <c r="G86" s="100"/>
      <c r="H86" s="100"/>
      <c r="I86" s="100"/>
      <c r="J86" s="100"/>
      <c r="K86" s="100"/>
    </row>
    <row r="87" spans="7:11" s="99" customFormat="1" x14ac:dyDescent="0.3">
      <c r="G87" s="100"/>
      <c r="H87" s="100"/>
      <c r="I87" s="100"/>
      <c r="J87" s="100"/>
      <c r="K87" s="100"/>
    </row>
    <row r="88" spans="7:11" s="99" customFormat="1" x14ac:dyDescent="0.3">
      <c r="G88" s="100"/>
      <c r="H88" s="100"/>
      <c r="I88" s="100"/>
      <c r="J88" s="100"/>
      <c r="K88" s="100"/>
    </row>
    <row r="89" spans="7:11" s="99" customFormat="1" x14ac:dyDescent="0.3">
      <c r="G89" s="100"/>
      <c r="H89" s="100"/>
      <c r="I89" s="100"/>
      <c r="J89" s="100"/>
      <c r="K89" s="100"/>
    </row>
    <row r="90" spans="7:11" s="99" customFormat="1" x14ac:dyDescent="0.3">
      <c r="G90" s="100"/>
      <c r="H90" s="100"/>
      <c r="I90" s="100"/>
      <c r="J90" s="100"/>
      <c r="K90" s="100"/>
    </row>
    <row r="91" spans="7:11" s="99" customFormat="1" x14ac:dyDescent="0.3">
      <c r="G91" s="100"/>
      <c r="H91" s="100"/>
      <c r="I91" s="100"/>
      <c r="J91" s="100"/>
      <c r="K91" s="100"/>
    </row>
    <row r="92" spans="7:11" s="99" customFormat="1" x14ac:dyDescent="0.3">
      <c r="G92" s="100"/>
      <c r="H92" s="100"/>
      <c r="I92" s="100"/>
      <c r="J92" s="100"/>
      <c r="K92" s="100"/>
    </row>
    <row r="93" spans="7:11" s="99" customFormat="1" x14ac:dyDescent="0.3">
      <c r="G93" s="100"/>
      <c r="H93" s="100"/>
      <c r="I93" s="100"/>
      <c r="J93" s="100"/>
      <c r="K93" s="100"/>
    </row>
    <row r="94" spans="7:11" s="99" customFormat="1" x14ac:dyDescent="0.3">
      <c r="G94" s="100"/>
      <c r="H94" s="100"/>
      <c r="I94" s="100"/>
      <c r="J94" s="100"/>
      <c r="K94" s="100"/>
    </row>
    <row r="95" spans="7:11" s="99" customFormat="1" x14ac:dyDescent="0.3">
      <c r="G95" s="100"/>
      <c r="H95" s="100"/>
      <c r="I95" s="100"/>
      <c r="J95" s="100"/>
      <c r="K95" s="100"/>
    </row>
    <row r="96" spans="7:11" s="99" customFormat="1" x14ac:dyDescent="0.3">
      <c r="G96" s="100"/>
      <c r="H96" s="100"/>
      <c r="I96" s="100"/>
      <c r="J96" s="100"/>
      <c r="K96" s="100"/>
    </row>
    <row r="97" spans="7:11" s="99" customFormat="1" x14ac:dyDescent="0.3">
      <c r="G97" s="100"/>
      <c r="H97" s="100"/>
      <c r="I97" s="100"/>
      <c r="J97" s="100"/>
      <c r="K97" s="100"/>
    </row>
    <row r="98" spans="7:11" s="99" customFormat="1" x14ac:dyDescent="0.3">
      <c r="G98" s="100"/>
      <c r="H98" s="100"/>
      <c r="I98" s="100"/>
      <c r="J98" s="100"/>
      <c r="K98" s="100"/>
    </row>
    <row r="99" spans="7:11" s="99" customFormat="1" x14ac:dyDescent="0.3">
      <c r="G99" s="100"/>
      <c r="H99" s="100"/>
      <c r="I99" s="100"/>
      <c r="J99" s="100"/>
      <c r="K99" s="100"/>
    </row>
    <row r="100" spans="7:11" s="99" customFormat="1" x14ac:dyDescent="0.3">
      <c r="G100" s="100"/>
      <c r="H100" s="100"/>
      <c r="I100" s="100"/>
      <c r="J100" s="100"/>
      <c r="K100" s="100"/>
    </row>
    <row r="101" spans="7:11" s="99" customFormat="1" x14ac:dyDescent="0.3">
      <c r="G101" s="100"/>
      <c r="H101" s="100"/>
      <c r="I101" s="100"/>
      <c r="J101" s="100"/>
      <c r="K101" s="100"/>
    </row>
    <row r="102" spans="7:11" s="99" customFormat="1" x14ac:dyDescent="0.3">
      <c r="G102" s="100"/>
      <c r="H102" s="100"/>
      <c r="I102" s="100"/>
      <c r="J102" s="100"/>
      <c r="K102" s="100"/>
    </row>
    <row r="103" spans="7:11" s="99" customFormat="1" x14ac:dyDescent="0.3">
      <c r="G103" s="100"/>
      <c r="H103" s="100"/>
      <c r="I103" s="100"/>
      <c r="J103" s="100"/>
      <c r="K103" s="100"/>
    </row>
    <row r="104" spans="7:11" s="99" customFormat="1" x14ac:dyDescent="0.3">
      <c r="G104" s="100"/>
      <c r="H104" s="100"/>
      <c r="I104" s="100"/>
      <c r="J104" s="100"/>
      <c r="K104" s="100"/>
    </row>
    <row r="105" spans="7:11" s="99" customFormat="1" x14ac:dyDescent="0.3">
      <c r="G105" s="100"/>
      <c r="H105" s="100"/>
      <c r="I105" s="100"/>
      <c r="J105" s="100"/>
      <c r="K105" s="100"/>
    </row>
    <row r="106" spans="7:11" s="99" customFormat="1" x14ac:dyDescent="0.3">
      <c r="G106" s="100"/>
      <c r="H106" s="100"/>
      <c r="I106" s="100"/>
      <c r="J106" s="100"/>
      <c r="K106" s="100"/>
    </row>
  </sheetData>
  <mergeCells count="31">
    <mergeCell ref="C23:E23"/>
    <mergeCell ref="C3:K3"/>
    <mergeCell ref="Q3:T3"/>
    <mergeCell ref="Q4:T8"/>
    <mergeCell ref="C5:K5"/>
    <mergeCell ref="C6:G6"/>
    <mergeCell ref="Q10:R10"/>
    <mergeCell ref="C19:E19"/>
    <mergeCell ref="C20:E20"/>
    <mergeCell ref="Q20:R20"/>
    <mergeCell ref="C21:E21"/>
    <mergeCell ref="C22:E22"/>
    <mergeCell ref="C34:E34"/>
    <mergeCell ref="C24:E24"/>
    <mergeCell ref="C25:E25"/>
    <mergeCell ref="C26:E26"/>
    <mergeCell ref="C27:E27"/>
    <mergeCell ref="C28:E28"/>
    <mergeCell ref="C29:E29"/>
    <mergeCell ref="C30:E30"/>
    <mergeCell ref="C31:E31"/>
    <mergeCell ref="C32:E32"/>
    <mergeCell ref="C33:E33"/>
    <mergeCell ref="C50:E50"/>
    <mergeCell ref="C51:E51"/>
    <mergeCell ref="C35:E35"/>
    <mergeCell ref="C37:E37"/>
    <mergeCell ref="C46:E46"/>
    <mergeCell ref="C47:E47"/>
    <mergeCell ref="C48:E48"/>
    <mergeCell ref="C49:E49"/>
  </mergeCells>
  <pageMargins left="0.7" right="0.7" top="0.75" bottom="0.75" header="0.3" footer="0.3"/>
  <pageSetup scale="57"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0"/>
  <sheetViews>
    <sheetView topLeftCell="A15" zoomScale="112" workbookViewId="0">
      <selection activeCell="L29" sqref="A1:L29"/>
    </sheetView>
  </sheetViews>
  <sheetFormatPr defaultColWidth="23.8984375" defaultRowHeight="15.6" x14ac:dyDescent="0.3"/>
  <cols>
    <col min="1" max="1" width="31.8984375" customWidth="1"/>
    <col min="2" max="2" width="1.69921875" customWidth="1"/>
    <col min="3" max="3" width="1.3984375" customWidth="1"/>
    <col min="4" max="4" width="15.69921875" customWidth="1"/>
    <col min="5" max="7" width="1.3984375" customWidth="1"/>
    <col min="8" max="8" width="8.5" customWidth="1"/>
    <col min="9" max="9" width="12.19921875" style="92" customWidth="1"/>
    <col min="10" max="10" width="9.3984375" style="231" customWidth="1"/>
    <col min="11" max="11" width="8.5" style="90" customWidth="1"/>
    <col min="12" max="12" width="15.69921875" style="91" customWidth="1"/>
    <col min="13" max="251" width="7.8984375" customWidth="1"/>
    <col min="253" max="253" width="27.3984375" customWidth="1"/>
    <col min="254" max="254" width="1.69921875" customWidth="1"/>
    <col min="255" max="255" width="10.3984375" customWidth="1"/>
    <col min="256" max="256" width="1.09765625" customWidth="1"/>
    <col min="257" max="257" width="9.5" customWidth="1"/>
    <col min="258" max="258" width="1.3984375" customWidth="1"/>
    <col min="259" max="259" width="11" customWidth="1"/>
    <col min="260" max="260" width="1.3984375" customWidth="1"/>
    <col min="261" max="261" width="15.69921875" customWidth="1"/>
    <col min="262" max="262" width="1.3984375" customWidth="1"/>
    <col min="263" max="263" width="8.5" customWidth="1"/>
    <col min="264" max="265" width="12.19921875" customWidth="1"/>
    <col min="266" max="266" width="9.3984375" customWidth="1"/>
    <col min="267" max="267" width="8.5" customWidth="1"/>
    <col min="268" max="268" width="15.69921875" customWidth="1"/>
    <col min="269" max="507" width="7.8984375" customWidth="1"/>
    <col min="509" max="509" width="27.3984375" customWidth="1"/>
    <col min="510" max="510" width="1.69921875" customWidth="1"/>
    <col min="511" max="511" width="10.3984375" customWidth="1"/>
    <col min="512" max="512" width="1.09765625" customWidth="1"/>
    <col min="513" max="513" width="9.5" customWidth="1"/>
    <col min="514" max="514" width="1.3984375" customWidth="1"/>
    <col min="515" max="515" width="11" customWidth="1"/>
    <col min="516" max="516" width="1.3984375" customWidth="1"/>
    <col min="517" max="517" width="15.69921875" customWidth="1"/>
    <col min="518" max="518" width="1.3984375" customWidth="1"/>
    <col min="519" max="519" width="8.5" customWidth="1"/>
    <col min="520" max="521" width="12.19921875" customWidth="1"/>
    <col min="522" max="522" width="9.3984375" customWidth="1"/>
    <col min="523" max="523" width="8.5" customWidth="1"/>
    <col min="524" max="524" width="15.69921875" customWidth="1"/>
    <col min="525" max="763" width="7.8984375" customWidth="1"/>
    <col min="765" max="765" width="27.3984375" customWidth="1"/>
    <col min="766" max="766" width="1.69921875" customWidth="1"/>
    <col min="767" max="767" width="10.3984375" customWidth="1"/>
    <col min="768" max="768" width="1.09765625" customWidth="1"/>
    <col min="769" max="769" width="9.5" customWidth="1"/>
    <col min="770" max="770" width="1.3984375" customWidth="1"/>
    <col min="771" max="771" width="11" customWidth="1"/>
    <col min="772" max="772" width="1.3984375" customWidth="1"/>
    <col min="773" max="773" width="15.69921875" customWidth="1"/>
    <col min="774" max="774" width="1.3984375" customWidth="1"/>
    <col min="775" max="775" width="8.5" customWidth="1"/>
    <col min="776" max="777" width="12.19921875" customWidth="1"/>
    <col min="778" max="778" width="9.3984375" customWidth="1"/>
    <col min="779" max="779" width="8.5" customWidth="1"/>
    <col min="780" max="780" width="15.69921875" customWidth="1"/>
    <col min="781" max="1019" width="7.8984375" customWidth="1"/>
    <col min="1021" max="1021" width="27.3984375" customWidth="1"/>
    <col min="1022" max="1022" width="1.69921875" customWidth="1"/>
    <col min="1023" max="1023" width="10.3984375" customWidth="1"/>
    <col min="1024" max="1024" width="1.09765625" customWidth="1"/>
    <col min="1025" max="1025" width="9.5" customWidth="1"/>
    <col min="1026" max="1026" width="1.3984375" customWidth="1"/>
    <col min="1027" max="1027" width="11" customWidth="1"/>
    <col min="1028" max="1028" width="1.3984375" customWidth="1"/>
    <col min="1029" max="1029" width="15.69921875" customWidth="1"/>
    <col min="1030" max="1030" width="1.3984375" customWidth="1"/>
    <col min="1031" max="1031" width="8.5" customWidth="1"/>
    <col min="1032" max="1033" width="12.19921875" customWidth="1"/>
    <col min="1034" max="1034" width="9.3984375" customWidth="1"/>
    <col min="1035" max="1035" width="8.5" customWidth="1"/>
    <col min="1036" max="1036" width="15.69921875" customWidth="1"/>
    <col min="1037" max="1275" width="7.8984375" customWidth="1"/>
    <col min="1277" max="1277" width="27.3984375" customWidth="1"/>
    <col min="1278" max="1278" width="1.69921875" customWidth="1"/>
    <col min="1279" max="1279" width="10.3984375" customWidth="1"/>
    <col min="1280" max="1280" width="1.09765625" customWidth="1"/>
    <col min="1281" max="1281" width="9.5" customWidth="1"/>
    <col min="1282" max="1282" width="1.3984375" customWidth="1"/>
    <col min="1283" max="1283" width="11" customWidth="1"/>
    <col min="1284" max="1284" width="1.3984375" customWidth="1"/>
    <col min="1285" max="1285" width="15.69921875" customWidth="1"/>
    <col min="1286" max="1286" width="1.3984375" customWidth="1"/>
    <col min="1287" max="1287" width="8.5" customWidth="1"/>
    <col min="1288" max="1289" width="12.19921875" customWidth="1"/>
    <col min="1290" max="1290" width="9.3984375" customWidth="1"/>
    <col min="1291" max="1291" width="8.5" customWidth="1"/>
    <col min="1292" max="1292" width="15.69921875" customWidth="1"/>
    <col min="1293" max="1531" width="7.8984375" customWidth="1"/>
    <col min="1533" max="1533" width="27.3984375" customWidth="1"/>
    <col min="1534" max="1534" width="1.69921875" customWidth="1"/>
    <col min="1535" max="1535" width="10.3984375" customWidth="1"/>
    <col min="1536" max="1536" width="1.09765625" customWidth="1"/>
    <col min="1537" max="1537" width="9.5" customWidth="1"/>
    <col min="1538" max="1538" width="1.3984375" customWidth="1"/>
    <col min="1539" max="1539" width="11" customWidth="1"/>
    <col min="1540" max="1540" width="1.3984375" customWidth="1"/>
    <col min="1541" max="1541" width="15.69921875" customWidth="1"/>
    <col min="1542" max="1542" width="1.3984375" customWidth="1"/>
    <col min="1543" max="1543" width="8.5" customWidth="1"/>
    <col min="1544" max="1545" width="12.19921875" customWidth="1"/>
    <col min="1546" max="1546" width="9.3984375" customWidth="1"/>
    <col min="1547" max="1547" width="8.5" customWidth="1"/>
    <col min="1548" max="1548" width="15.69921875" customWidth="1"/>
    <col min="1549" max="1787" width="7.8984375" customWidth="1"/>
    <col min="1789" max="1789" width="27.3984375" customWidth="1"/>
    <col min="1790" max="1790" width="1.69921875" customWidth="1"/>
    <col min="1791" max="1791" width="10.3984375" customWidth="1"/>
    <col min="1792" max="1792" width="1.09765625" customWidth="1"/>
    <col min="1793" max="1793" width="9.5" customWidth="1"/>
    <col min="1794" max="1794" width="1.3984375" customWidth="1"/>
    <col min="1795" max="1795" width="11" customWidth="1"/>
    <col min="1796" max="1796" width="1.3984375" customWidth="1"/>
    <col min="1797" max="1797" width="15.69921875" customWidth="1"/>
    <col min="1798" max="1798" width="1.3984375" customWidth="1"/>
    <col min="1799" max="1799" width="8.5" customWidth="1"/>
    <col min="1800" max="1801" width="12.19921875" customWidth="1"/>
    <col min="1802" max="1802" width="9.3984375" customWidth="1"/>
    <col min="1803" max="1803" width="8.5" customWidth="1"/>
    <col min="1804" max="1804" width="15.69921875" customWidth="1"/>
    <col min="1805" max="2043" width="7.8984375" customWidth="1"/>
    <col min="2045" max="2045" width="27.3984375" customWidth="1"/>
    <col min="2046" max="2046" width="1.69921875" customWidth="1"/>
    <col min="2047" max="2047" width="10.3984375" customWidth="1"/>
    <col min="2048" max="2048" width="1.09765625" customWidth="1"/>
    <col min="2049" max="2049" width="9.5" customWidth="1"/>
    <col min="2050" max="2050" width="1.3984375" customWidth="1"/>
    <col min="2051" max="2051" width="11" customWidth="1"/>
    <col min="2052" max="2052" width="1.3984375" customWidth="1"/>
    <col min="2053" max="2053" width="15.69921875" customWidth="1"/>
    <col min="2054" max="2054" width="1.3984375" customWidth="1"/>
    <col min="2055" max="2055" width="8.5" customWidth="1"/>
    <col min="2056" max="2057" width="12.19921875" customWidth="1"/>
    <col min="2058" max="2058" width="9.3984375" customWidth="1"/>
    <col min="2059" max="2059" width="8.5" customWidth="1"/>
    <col min="2060" max="2060" width="15.69921875" customWidth="1"/>
    <col min="2061" max="2299" width="7.8984375" customWidth="1"/>
    <col min="2301" max="2301" width="27.3984375" customWidth="1"/>
    <col min="2302" max="2302" width="1.69921875" customWidth="1"/>
    <col min="2303" max="2303" width="10.3984375" customWidth="1"/>
    <col min="2304" max="2304" width="1.09765625" customWidth="1"/>
    <col min="2305" max="2305" width="9.5" customWidth="1"/>
    <col min="2306" max="2306" width="1.3984375" customWidth="1"/>
    <col min="2307" max="2307" width="11" customWidth="1"/>
    <col min="2308" max="2308" width="1.3984375" customWidth="1"/>
    <col min="2309" max="2309" width="15.69921875" customWidth="1"/>
    <col min="2310" max="2310" width="1.3984375" customWidth="1"/>
    <col min="2311" max="2311" width="8.5" customWidth="1"/>
    <col min="2312" max="2313" width="12.19921875" customWidth="1"/>
    <col min="2314" max="2314" width="9.3984375" customWidth="1"/>
    <col min="2315" max="2315" width="8.5" customWidth="1"/>
    <col min="2316" max="2316" width="15.69921875" customWidth="1"/>
    <col min="2317" max="2555" width="7.8984375" customWidth="1"/>
    <col min="2557" max="2557" width="27.3984375" customWidth="1"/>
    <col min="2558" max="2558" width="1.69921875" customWidth="1"/>
    <col min="2559" max="2559" width="10.3984375" customWidth="1"/>
    <col min="2560" max="2560" width="1.09765625" customWidth="1"/>
    <col min="2561" max="2561" width="9.5" customWidth="1"/>
    <col min="2562" max="2562" width="1.3984375" customWidth="1"/>
    <col min="2563" max="2563" width="11" customWidth="1"/>
    <col min="2564" max="2564" width="1.3984375" customWidth="1"/>
    <col min="2565" max="2565" width="15.69921875" customWidth="1"/>
    <col min="2566" max="2566" width="1.3984375" customWidth="1"/>
    <col min="2567" max="2567" width="8.5" customWidth="1"/>
    <col min="2568" max="2569" width="12.19921875" customWidth="1"/>
    <col min="2570" max="2570" width="9.3984375" customWidth="1"/>
    <col min="2571" max="2571" width="8.5" customWidth="1"/>
    <col min="2572" max="2572" width="15.69921875" customWidth="1"/>
    <col min="2573" max="2811" width="7.8984375" customWidth="1"/>
    <col min="2813" max="2813" width="27.3984375" customWidth="1"/>
    <col min="2814" max="2814" width="1.69921875" customWidth="1"/>
    <col min="2815" max="2815" width="10.3984375" customWidth="1"/>
    <col min="2816" max="2816" width="1.09765625" customWidth="1"/>
    <col min="2817" max="2817" width="9.5" customWidth="1"/>
    <col min="2818" max="2818" width="1.3984375" customWidth="1"/>
    <col min="2819" max="2819" width="11" customWidth="1"/>
    <col min="2820" max="2820" width="1.3984375" customWidth="1"/>
    <col min="2821" max="2821" width="15.69921875" customWidth="1"/>
    <col min="2822" max="2822" width="1.3984375" customWidth="1"/>
    <col min="2823" max="2823" width="8.5" customWidth="1"/>
    <col min="2824" max="2825" width="12.19921875" customWidth="1"/>
    <col min="2826" max="2826" width="9.3984375" customWidth="1"/>
    <col min="2827" max="2827" width="8.5" customWidth="1"/>
    <col min="2828" max="2828" width="15.69921875" customWidth="1"/>
    <col min="2829" max="3067" width="7.8984375" customWidth="1"/>
    <col min="3069" max="3069" width="27.3984375" customWidth="1"/>
    <col min="3070" max="3070" width="1.69921875" customWidth="1"/>
    <col min="3071" max="3071" width="10.3984375" customWidth="1"/>
    <col min="3072" max="3072" width="1.09765625" customWidth="1"/>
    <col min="3073" max="3073" width="9.5" customWidth="1"/>
    <col min="3074" max="3074" width="1.3984375" customWidth="1"/>
    <col min="3075" max="3075" width="11" customWidth="1"/>
    <col min="3076" max="3076" width="1.3984375" customWidth="1"/>
    <col min="3077" max="3077" width="15.69921875" customWidth="1"/>
    <col min="3078" max="3078" width="1.3984375" customWidth="1"/>
    <col min="3079" max="3079" width="8.5" customWidth="1"/>
    <col min="3080" max="3081" width="12.19921875" customWidth="1"/>
    <col min="3082" max="3082" width="9.3984375" customWidth="1"/>
    <col min="3083" max="3083" width="8.5" customWidth="1"/>
    <col min="3084" max="3084" width="15.69921875" customWidth="1"/>
    <col min="3085" max="3323" width="7.8984375" customWidth="1"/>
    <col min="3325" max="3325" width="27.3984375" customWidth="1"/>
    <col min="3326" max="3326" width="1.69921875" customWidth="1"/>
    <col min="3327" max="3327" width="10.3984375" customWidth="1"/>
    <col min="3328" max="3328" width="1.09765625" customWidth="1"/>
    <col min="3329" max="3329" width="9.5" customWidth="1"/>
    <col min="3330" max="3330" width="1.3984375" customWidth="1"/>
    <col min="3331" max="3331" width="11" customWidth="1"/>
    <col min="3332" max="3332" width="1.3984375" customWidth="1"/>
    <col min="3333" max="3333" width="15.69921875" customWidth="1"/>
    <col min="3334" max="3334" width="1.3984375" customWidth="1"/>
    <col min="3335" max="3335" width="8.5" customWidth="1"/>
    <col min="3336" max="3337" width="12.19921875" customWidth="1"/>
    <col min="3338" max="3338" width="9.3984375" customWidth="1"/>
    <col min="3339" max="3339" width="8.5" customWidth="1"/>
    <col min="3340" max="3340" width="15.69921875" customWidth="1"/>
    <col min="3341" max="3579" width="7.8984375" customWidth="1"/>
    <col min="3581" max="3581" width="27.3984375" customWidth="1"/>
    <col min="3582" max="3582" width="1.69921875" customWidth="1"/>
    <col min="3583" max="3583" width="10.3984375" customWidth="1"/>
    <col min="3584" max="3584" width="1.09765625" customWidth="1"/>
    <col min="3585" max="3585" width="9.5" customWidth="1"/>
    <col min="3586" max="3586" width="1.3984375" customWidth="1"/>
    <col min="3587" max="3587" width="11" customWidth="1"/>
    <col min="3588" max="3588" width="1.3984375" customWidth="1"/>
    <col min="3589" max="3589" width="15.69921875" customWidth="1"/>
    <col min="3590" max="3590" width="1.3984375" customWidth="1"/>
    <col min="3591" max="3591" width="8.5" customWidth="1"/>
    <col min="3592" max="3593" width="12.19921875" customWidth="1"/>
    <col min="3594" max="3594" width="9.3984375" customWidth="1"/>
    <col min="3595" max="3595" width="8.5" customWidth="1"/>
    <col min="3596" max="3596" width="15.69921875" customWidth="1"/>
    <col min="3597" max="3835" width="7.8984375" customWidth="1"/>
    <col min="3837" max="3837" width="27.3984375" customWidth="1"/>
    <col min="3838" max="3838" width="1.69921875" customWidth="1"/>
    <col min="3839" max="3839" width="10.3984375" customWidth="1"/>
    <col min="3840" max="3840" width="1.09765625" customWidth="1"/>
    <col min="3841" max="3841" width="9.5" customWidth="1"/>
    <col min="3842" max="3842" width="1.3984375" customWidth="1"/>
    <col min="3843" max="3843" width="11" customWidth="1"/>
    <col min="3844" max="3844" width="1.3984375" customWidth="1"/>
    <col min="3845" max="3845" width="15.69921875" customWidth="1"/>
    <col min="3846" max="3846" width="1.3984375" customWidth="1"/>
    <col min="3847" max="3847" width="8.5" customWidth="1"/>
    <col min="3848" max="3849" width="12.19921875" customWidth="1"/>
    <col min="3850" max="3850" width="9.3984375" customWidth="1"/>
    <col min="3851" max="3851" width="8.5" customWidth="1"/>
    <col min="3852" max="3852" width="15.69921875" customWidth="1"/>
    <col min="3853" max="4091" width="7.8984375" customWidth="1"/>
    <col min="4093" max="4093" width="27.3984375" customWidth="1"/>
    <col min="4094" max="4094" width="1.69921875" customWidth="1"/>
    <col min="4095" max="4095" width="10.3984375" customWidth="1"/>
    <col min="4096" max="4096" width="1.09765625" customWidth="1"/>
    <col min="4097" max="4097" width="9.5" customWidth="1"/>
    <col min="4098" max="4098" width="1.3984375" customWidth="1"/>
    <col min="4099" max="4099" width="11" customWidth="1"/>
    <col min="4100" max="4100" width="1.3984375" customWidth="1"/>
    <col min="4101" max="4101" width="15.69921875" customWidth="1"/>
    <col min="4102" max="4102" width="1.3984375" customWidth="1"/>
    <col min="4103" max="4103" width="8.5" customWidth="1"/>
    <col min="4104" max="4105" width="12.19921875" customWidth="1"/>
    <col min="4106" max="4106" width="9.3984375" customWidth="1"/>
    <col min="4107" max="4107" width="8.5" customWidth="1"/>
    <col min="4108" max="4108" width="15.69921875" customWidth="1"/>
    <col min="4109" max="4347" width="7.8984375" customWidth="1"/>
    <col min="4349" max="4349" width="27.3984375" customWidth="1"/>
    <col min="4350" max="4350" width="1.69921875" customWidth="1"/>
    <col min="4351" max="4351" width="10.3984375" customWidth="1"/>
    <col min="4352" max="4352" width="1.09765625" customWidth="1"/>
    <col min="4353" max="4353" width="9.5" customWidth="1"/>
    <col min="4354" max="4354" width="1.3984375" customWidth="1"/>
    <col min="4355" max="4355" width="11" customWidth="1"/>
    <col min="4356" max="4356" width="1.3984375" customWidth="1"/>
    <col min="4357" max="4357" width="15.69921875" customWidth="1"/>
    <col min="4358" max="4358" width="1.3984375" customWidth="1"/>
    <col min="4359" max="4359" width="8.5" customWidth="1"/>
    <col min="4360" max="4361" width="12.19921875" customWidth="1"/>
    <col min="4362" max="4362" width="9.3984375" customWidth="1"/>
    <col min="4363" max="4363" width="8.5" customWidth="1"/>
    <col min="4364" max="4364" width="15.69921875" customWidth="1"/>
    <col min="4365" max="4603" width="7.8984375" customWidth="1"/>
    <col min="4605" max="4605" width="27.3984375" customWidth="1"/>
    <col min="4606" max="4606" width="1.69921875" customWidth="1"/>
    <col min="4607" max="4607" width="10.3984375" customWidth="1"/>
    <col min="4608" max="4608" width="1.09765625" customWidth="1"/>
    <col min="4609" max="4609" width="9.5" customWidth="1"/>
    <col min="4610" max="4610" width="1.3984375" customWidth="1"/>
    <col min="4611" max="4611" width="11" customWidth="1"/>
    <col min="4612" max="4612" width="1.3984375" customWidth="1"/>
    <col min="4613" max="4613" width="15.69921875" customWidth="1"/>
    <col min="4614" max="4614" width="1.3984375" customWidth="1"/>
    <col min="4615" max="4615" width="8.5" customWidth="1"/>
    <col min="4616" max="4617" width="12.19921875" customWidth="1"/>
    <col min="4618" max="4618" width="9.3984375" customWidth="1"/>
    <col min="4619" max="4619" width="8.5" customWidth="1"/>
    <col min="4620" max="4620" width="15.69921875" customWidth="1"/>
    <col min="4621" max="4859" width="7.8984375" customWidth="1"/>
    <col min="4861" max="4861" width="27.3984375" customWidth="1"/>
    <col min="4862" max="4862" width="1.69921875" customWidth="1"/>
    <col min="4863" max="4863" width="10.3984375" customWidth="1"/>
    <col min="4864" max="4864" width="1.09765625" customWidth="1"/>
    <col min="4865" max="4865" width="9.5" customWidth="1"/>
    <col min="4866" max="4866" width="1.3984375" customWidth="1"/>
    <col min="4867" max="4867" width="11" customWidth="1"/>
    <col min="4868" max="4868" width="1.3984375" customWidth="1"/>
    <col min="4869" max="4869" width="15.69921875" customWidth="1"/>
    <col min="4870" max="4870" width="1.3984375" customWidth="1"/>
    <col min="4871" max="4871" width="8.5" customWidth="1"/>
    <col min="4872" max="4873" width="12.19921875" customWidth="1"/>
    <col min="4874" max="4874" width="9.3984375" customWidth="1"/>
    <col min="4875" max="4875" width="8.5" customWidth="1"/>
    <col min="4876" max="4876" width="15.69921875" customWidth="1"/>
    <col min="4877" max="5115" width="7.8984375" customWidth="1"/>
    <col min="5117" max="5117" width="27.3984375" customWidth="1"/>
    <col min="5118" max="5118" width="1.69921875" customWidth="1"/>
    <col min="5119" max="5119" width="10.3984375" customWidth="1"/>
    <col min="5120" max="5120" width="1.09765625" customWidth="1"/>
    <col min="5121" max="5121" width="9.5" customWidth="1"/>
    <col min="5122" max="5122" width="1.3984375" customWidth="1"/>
    <col min="5123" max="5123" width="11" customWidth="1"/>
    <col min="5124" max="5124" width="1.3984375" customWidth="1"/>
    <col min="5125" max="5125" width="15.69921875" customWidth="1"/>
    <col min="5126" max="5126" width="1.3984375" customWidth="1"/>
    <col min="5127" max="5127" width="8.5" customWidth="1"/>
    <col min="5128" max="5129" width="12.19921875" customWidth="1"/>
    <col min="5130" max="5130" width="9.3984375" customWidth="1"/>
    <col min="5131" max="5131" width="8.5" customWidth="1"/>
    <col min="5132" max="5132" width="15.69921875" customWidth="1"/>
    <col min="5133" max="5371" width="7.8984375" customWidth="1"/>
    <col min="5373" max="5373" width="27.3984375" customWidth="1"/>
    <col min="5374" max="5374" width="1.69921875" customWidth="1"/>
    <col min="5375" max="5375" width="10.3984375" customWidth="1"/>
    <col min="5376" max="5376" width="1.09765625" customWidth="1"/>
    <col min="5377" max="5377" width="9.5" customWidth="1"/>
    <col min="5378" max="5378" width="1.3984375" customWidth="1"/>
    <col min="5379" max="5379" width="11" customWidth="1"/>
    <col min="5380" max="5380" width="1.3984375" customWidth="1"/>
    <col min="5381" max="5381" width="15.69921875" customWidth="1"/>
    <col min="5382" max="5382" width="1.3984375" customWidth="1"/>
    <col min="5383" max="5383" width="8.5" customWidth="1"/>
    <col min="5384" max="5385" width="12.19921875" customWidth="1"/>
    <col min="5386" max="5386" width="9.3984375" customWidth="1"/>
    <col min="5387" max="5387" width="8.5" customWidth="1"/>
    <col min="5388" max="5388" width="15.69921875" customWidth="1"/>
    <col min="5389" max="5627" width="7.8984375" customWidth="1"/>
    <col min="5629" max="5629" width="27.3984375" customWidth="1"/>
    <col min="5630" max="5630" width="1.69921875" customWidth="1"/>
    <col min="5631" max="5631" width="10.3984375" customWidth="1"/>
    <col min="5632" max="5632" width="1.09765625" customWidth="1"/>
    <col min="5633" max="5633" width="9.5" customWidth="1"/>
    <col min="5634" max="5634" width="1.3984375" customWidth="1"/>
    <col min="5635" max="5635" width="11" customWidth="1"/>
    <col min="5636" max="5636" width="1.3984375" customWidth="1"/>
    <col min="5637" max="5637" width="15.69921875" customWidth="1"/>
    <col min="5638" max="5638" width="1.3984375" customWidth="1"/>
    <col min="5639" max="5639" width="8.5" customWidth="1"/>
    <col min="5640" max="5641" width="12.19921875" customWidth="1"/>
    <col min="5642" max="5642" width="9.3984375" customWidth="1"/>
    <col min="5643" max="5643" width="8.5" customWidth="1"/>
    <col min="5644" max="5644" width="15.69921875" customWidth="1"/>
    <col min="5645" max="5883" width="7.8984375" customWidth="1"/>
    <col min="5885" max="5885" width="27.3984375" customWidth="1"/>
    <col min="5886" max="5886" width="1.69921875" customWidth="1"/>
    <col min="5887" max="5887" width="10.3984375" customWidth="1"/>
    <col min="5888" max="5888" width="1.09765625" customWidth="1"/>
    <col min="5889" max="5889" width="9.5" customWidth="1"/>
    <col min="5890" max="5890" width="1.3984375" customWidth="1"/>
    <col min="5891" max="5891" width="11" customWidth="1"/>
    <col min="5892" max="5892" width="1.3984375" customWidth="1"/>
    <col min="5893" max="5893" width="15.69921875" customWidth="1"/>
    <col min="5894" max="5894" width="1.3984375" customWidth="1"/>
    <col min="5895" max="5895" width="8.5" customWidth="1"/>
    <col min="5896" max="5897" width="12.19921875" customWidth="1"/>
    <col min="5898" max="5898" width="9.3984375" customWidth="1"/>
    <col min="5899" max="5899" width="8.5" customWidth="1"/>
    <col min="5900" max="5900" width="15.69921875" customWidth="1"/>
    <col min="5901" max="6139" width="7.8984375" customWidth="1"/>
    <col min="6141" max="6141" width="27.3984375" customWidth="1"/>
    <col min="6142" max="6142" width="1.69921875" customWidth="1"/>
    <col min="6143" max="6143" width="10.3984375" customWidth="1"/>
    <col min="6144" max="6144" width="1.09765625" customWidth="1"/>
    <col min="6145" max="6145" width="9.5" customWidth="1"/>
    <col min="6146" max="6146" width="1.3984375" customWidth="1"/>
    <col min="6147" max="6147" width="11" customWidth="1"/>
    <col min="6148" max="6148" width="1.3984375" customWidth="1"/>
    <col min="6149" max="6149" width="15.69921875" customWidth="1"/>
    <col min="6150" max="6150" width="1.3984375" customWidth="1"/>
    <col min="6151" max="6151" width="8.5" customWidth="1"/>
    <col min="6152" max="6153" width="12.19921875" customWidth="1"/>
    <col min="6154" max="6154" width="9.3984375" customWidth="1"/>
    <col min="6155" max="6155" width="8.5" customWidth="1"/>
    <col min="6156" max="6156" width="15.69921875" customWidth="1"/>
    <col min="6157" max="6395" width="7.8984375" customWidth="1"/>
    <col min="6397" max="6397" width="27.3984375" customWidth="1"/>
    <col min="6398" max="6398" width="1.69921875" customWidth="1"/>
    <col min="6399" max="6399" width="10.3984375" customWidth="1"/>
    <col min="6400" max="6400" width="1.09765625" customWidth="1"/>
    <col min="6401" max="6401" width="9.5" customWidth="1"/>
    <col min="6402" max="6402" width="1.3984375" customWidth="1"/>
    <col min="6403" max="6403" width="11" customWidth="1"/>
    <col min="6404" max="6404" width="1.3984375" customWidth="1"/>
    <col min="6405" max="6405" width="15.69921875" customWidth="1"/>
    <col min="6406" max="6406" width="1.3984375" customWidth="1"/>
    <col min="6407" max="6407" width="8.5" customWidth="1"/>
    <col min="6408" max="6409" width="12.19921875" customWidth="1"/>
    <col min="6410" max="6410" width="9.3984375" customWidth="1"/>
    <col min="6411" max="6411" width="8.5" customWidth="1"/>
    <col min="6412" max="6412" width="15.69921875" customWidth="1"/>
    <col min="6413" max="6651" width="7.8984375" customWidth="1"/>
    <col min="6653" max="6653" width="27.3984375" customWidth="1"/>
    <col min="6654" max="6654" width="1.69921875" customWidth="1"/>
    <col min="6655" max="6655" width="10.3984375" customWidth="1"/>
    <col min="6656" max="6656" width="1.09765625" customWidth="1"/>
    <col min="6657" max="6657" width="9.5" customWidth="1"/>
    <col min="6658" max="6658" width="1.3984375" customWidth="1"/>
    <col min="6659" max="6659" width="11" customWidth="1"/>
    <col min="6660" max="6660" width="1.3984375" customWidth="1"/>
    <col min="6661" max="6661" width="15.69921875" customWidth="1"/>
    <col min="6662" max="6662" width="1.3984375" customWidth="1"/>
    <col min="6663" max="6663" width="8.5" customWidth="1"/>
    <col min="6664" max="6665" width="12.19921875" customWidth="1"/>
    <col min="6666" max="6666" width="9.3984375" customWidth="1"/>
    <col min="6667" max="6667" width="8.5" customWidth="1"/>
    <col min="6668" max="6668" width="15.69921875" customWidth="1"/>
    <col min="6669" max="6907" width="7.8984375" customWidth="1"/>
    <col min="6909" max="6909" width="27.3984375" customWidth="1"/>
    <col min="6910" max="6910" width="1.69921875" customWidth="1"/>
    <col min="6911" max="6911" width="10.3984375" customWidth="1"/>
    <col min="6912" max="6912" width="1.09765625" customWidth="1"/>
    <col min="6913" max="6913" width="9.5" customWidth="1"/>
    <col min="6914" max="6914" width="1.3984375" customWidth="1"/>
    <col min="6915" max="6915" width="11" customWidth="1"/>
    <col min="6916" max="6916" width="1.3984375" customWidth="1"/>
    <col min="6917" max="6917" width="15.69921875" customWidth="1"/>
    <col min="6918" max="6918" width="1.3984375" customWidth="1"/>
    <col min="6919" max="6919" width="8.5" customWidth="1"/>
    <col min="6920" max="6921" width="12.19921875" customWidth="1"/>
    <col min="6922" max="6922" width="9.3984375" customWidth="1"/>
    <col min="6923" max="6923" width="8.5" customWidth="1"/>
    <col min="6924" max="6924" width="15.69921875" customWidth="1"/>
    <col min="6925" max="7163" width="7.8984375" customWidth="1"/>
    <col min="7165" max="7165" width="27.3984375" customWidth="1"/>
    <col min="7166" max="7166" width="1.69921875" customWidth="1"/>
    <col min="7167" max="7167" width="10.3984375" customWidth="1"/>
    <col min="7168" max="7168" width="1.09765625" customWidth="1"/>
    <col min="7169" max="7169" width="9.5" customWidth="1"/>
    <col min="7170" max="7170" width="1.3984375" customWidth="1"/>
    <col min="7171" max="7171" width="11" customWidth="1"/>
    <col min="7172" max="7172" width="1.3984375" customWidth="1"/>
    <col min="7173" max="7173" width="15.69921875" customWidth="1"/>
    <col min="7174" max="7174" width="1.3984375" customWidth="1"/>
    <col min="7175" max="7175" width="8.5" customWidth="1"/>
    <col min="7176" max="7177" width="12.19921875" customWidth="1"/>
    <col min="7178" max="7178" width="9.3984375" customWidth="1"/>
    <col min="7179" max="7179" width="8.5" customWidth="1"/>
    <col min="7180" max="7180" width="15.69921875" customWidth="1"/>
    <col min="7181" max="7419" width="7.8984375" customWidth="1"/>
    <col min="7421" max="7421" width="27.3984375" customWidth="1"/>
    <col min="7422" max="7422" width="1.69921875" customWidth="1"/>
    <col min="7423" max="7423" width="10.3984375" customWidth="1"/>
    <col min="7424" max="7424" width="1.09765625" customWidth="1"/>
    <col min="7425" max="7425" width="9.5" customWidth="1"/>
    <col min="7426" max="7426" width="1.3984375" customWidth="1"/>
    <col min="7427" max="7427" width="11" customWidth="1"/>
    <col min="7428" max="7428" width="1.3984375" customWidth="1"/>
    <col min="7429" max="7429" width="15.69921875" customWidth="1"/>
    <col min="7430" max="7430" width="1.3984375" customWidth="1"/>
    <col min="7431" max="7431" width="8.5" customWidth="1"/>
    <col min="7432" max="7433" width="12.19921875" customWidth="1"/>
    <col min="7434" max="7434" width="9.3984375" customWidth="1"/>
    <col min="7435" max="7435" width="8.5" customWidth="1"/>
    <col min="7436" max="7436" width="15.69921875" customWidth="1"/>
    <col min="7437" max="7675" width="7.8984375" customWidth="1"/>
    <col min="7677" max="7677" width="27.3984375" customWidth="1"/>
    <col min="7678" max="7678" width="1.69921875" customWidth="1"/>
    <col min="7679" max="7679" width="10.3984375" customWidth="1"/>
    <col min="7680" max="7680" width="1.09765625" customWidth="1"/>
    <col min="7681" max="7681" width="9.5" customWidth="1"/>
    <col min="7682" max="7682" width="1.3984375" customWidth="1"/>
    <col min="7683" max="7683" width="11" customWidth="1"/>
    <col min="7684" max="7684" width="1.3984375" customWidth="1"/>
    <col min="7685" max="7685" width="15.69921875" customWidth="1"/>
    <col min="7686" max="7686" width="1.3984375" customWidth="1"/>
    <col min="7687" max="7687" width="8.5" customWidth="1"/>
    <col min="7688" max="7689" width="12.19921875" customWidth="1"/>
    <col min="7690" max="7690" width="9.3984375" customWidth="1"/>
    <col min="7691" max="7691" width="8.5" customWidth="1"/>
    <col min="7692" max="7692" width="15.69921875" customWidth="1"/>
    <col min="7693" max="7931" width="7.8984375" customWidth="1"/>
    <col min="7933" max="7933" width="27.3984375" customWidth="1"/>
    <col min="7934" max="7934" width="1.69921875" customWidth="1"/>
    <col min="7935" max="7935" width="10.3984375" customWidth="1"/>
    <col min="7936" max="7936" width="1.09765625" customWidth="1"/>
    <col min="7937" max="7937" width="9.5" customWidth="1"/>
    <col min="7938" max="7938" width="1.3984375" customWidth="1"/>
    <col min="7939" max="7939" width="11" customWidth="1"/>
    <col min="7940" max="7940" width="1.3984375" customWidth="1"/>
    <col min="7941" max="7941" width="15.69921875" customWidth="1"/>
    <col min="7942" max="7942" width="1.3984375" customWidth="1"/>
    <col min="7943" max="7943" width="8.5" customWidth="1"/>
    <col min="7944" max="7945" width="12.19921875" customWidth="1"/>
    <col min="7946" max="7946" width="9.3984375" customWidth="1"/>
    <col min="7947" max="7947" width="8.5" customWidth="1"/>
    <col min="7948" max="7948" width="15.69921875" customWidth="1"/>
    <col min="7949" max="8187" width="7.8984375" customWidth="1"/>
    <col min="8189" max="8189" width="27.3984375" customWidth="1"/>
    <col min="8190" max="8190" width="1.69921875" customWidth="1"/>
    <col min="8191" max="8191" width="10.3984375" customWidth="1"/>
    <col min="8192" max="8192" width="1.09765625" customWidth="1"/>
    <col min="8193" max="8193" width="9.5" customWidth="1"/>
    <col min="8194" max="8194" width="1.3984375" customWidth="1"/>
    <col min="8195" max="8195" width="11" customWidth="1"/>
    <col min="8196" max="8196" width="1.3984375" customWidth="1"/>
    <col min="8197" max="8197" width="15.69921875" customWidth="1"/>
    <col min="8198" max="8198" width="1.3984375" customWidth="1"/>
    <col min="8199" max="8199" width="8.5" customWidth="1"/>
    <col min="8200" max="8201" width="12.19921875" customWidth="1"/>
    <col min="8202" max="8202" width="9.3984375" customWidth="1"/>
    <col min="8203" max="8203" width="8.5" customWidth="1"/>
    <col min="8204" max="8204" width="15.69921875" customWidth="1"/>
    <col min="8205" max="8443" width="7.8984375" customWidth="1"/>
    <col min="8445" max="8445" width="27.3984375" customWidth="1"/>
    <col min="8446" max="8446" width="1.69921875" customWidth="1"/>
    <col min="8447" max="8447" width="10.3984375" customWidth="1"/>
    <col min="8448" max="8448" width="1.09765625" customWidth="1"/>
    <col min="8449" max="8449" width="9.5" customWidth="1"/>
    <col min="8450" max="8450" width="1.3984375" customWidth="1"/>
    <col min="8451" max="8451" width="11" customWidth="1"/>
    <col min="8452" max="8452" width="1.3984375" customWidth="1"/>
    <col min="8453" max="8453" width="15.69921875" customWidth="1"/>
    <col min="8454" max="8454" width="1.3984375" customWidth="1"/>
    <col min="8455" max="8455" width="8.5" customWidth="1"/>
    <col min="8456" max="8457" width="12.19921875" customWidth="1"/>
    <col min="8458" max="8458" width="9.3984375" customWidth="1"/>
    <col min="8459" max="8459" width="8.5" customWidth="1"/>
    <col min="8460" max="8460" width="15.69921875" customWidth="1"/>
    <col min="8461" max="8699" width="7.8984375" customWidth="1"/>
    <col min="8701" max="8701" width="27.3984375" customWidth="1"/>
    <col min="8702" max="8702" width="1.69921875" customWidth="1"/>
    <col min="8703" max="8703" width="10.3984375" customWidth="1"/>
    <col min="8704" max="8704" width="1.09765625" customWidth="1"/>
    <col min="8705" max="8705" width="9.5" customWidth="1"/>
    <col min="8706" max="8706" width="1.3984375" customWidth="1"/>
    <col min="8707" max="8707" width="11" customWidth="1"/>
    <col min="8708" max="8708" width="1.3984375" customWidth="1"/>
    <col min="8709" max="8709" width="15.69921875" customWidth="1"/>
    <col min="8710" max="8710" width="1.3984375" customWidth="1"/>
    <col min="8711" max="8711" width="8.5" customWidth="1"/>
    <col min="8712" max="8713" width="12.19921875" customWidth="1"/>
    <col min="8714" max="8714" width="9.3984375" customWidth="1"/>
    <col min="8715" max="8715" width="8.5" customWidth="1"/>
    <col min="8716" max="8716" width="15.69921875" customWidth="1"/>
    <col min="8717" max="8955" width="7.8984375" customWidth="1"/>
    <col min="8957" max="8957" width="27.3984375" customWidth="1"/>
    <col min="8958" max="8958" width="1.69921875" customWidth="1"/>
    <col min="8959" max="8959" width="10.3984375" customWidth="1"/>
    <col min="8960" max="8960" width="1.09765625" customWidth="1"/>
    <col min="8961" max="8961" width="9.5" customWidth="1"/>
    <col min="8962" max="8962" width="1.3984375" customWidth="1"/>
    <col min="8963" max="8963" width="11" customWidth="1"/>
    <col min="8964" max="8964" width="1.3984375" customWidth="1"/>
    <col min="8965" max="8965" width="15.69921875" customWidth="1"/>
    <col min="8966" max="8966" width="1.3984375" customWidth="1"/>
    <col min="8967" max="8967" width="8.5" customWidth="1"/>
    <col min="8968" max="8969" width="12.19921875" customWidth="1"/>
    <col min="8970" max="8970" width="9.3984375" customWidth="1"/>
    <col min="8971" max="8971" width="8.5" customWidth="1"/>
    <col min="8972" max="8972" width="15.69921875" customWidth="1"/>
    <col min="8973" max="9211" width="7.8984375" customWidth="1"/>
    <col min="9213" max="9213" width="27.3984375" customWidth="1"/>
    <col min="9214" max="9214" width="1.69921875" customWidth="1"/>
    <col min="9215" max="9215" width="10.3984375" customWidth="1"/>
    <col min="9216" max="9216" width="1.09765625" customWidth="1"/>
    <col min="9217" max="9217" width="9.5" customWidth="1"/>
    <col min="9218" max="9218" width="1.3984375" customWidth="1"/>
    <col min="9219" max="9219" width="11" customWidth="1"/>
    <col min="9220" max="9220" width="1.3984375" customWidth="1"/>
    <col min="9221" max="9221" width="15.69921875" customWidth="1"/>
    <col min="9222" max="9222" width="1.3984375" customWidth="1"/>
    <col min="9223" max="9223" width="8.5" customWidth="1"/>
    <col min="9224" max="9225" width="12.19921875" customWidth="1"/>
    <col min="9226" max="9226" width="9.3984375" customWidth="1"/>
    <col min="9227" max="9227" width="8.5" customWidth="1"/>
    <col min="9228" max="9228" width="15.69921875" customWidth="1"/>
    <col min="9229" max="9467" width="7.8984375" customWidth="1"/>
    <col min="9469" max="9469" width="27.3984375" customWidth="1"/>
    <col min="9470" max="9470" width="1.69921875" customWidth="1"/>
    <col min="9471" max="9471" width="10.3984375" customWidth="1"/>
    <col min="9472" max="9472" width="1.09765625" customWidth="1"/>
    <col min="9473" max="9473" width="9.5" customWidth="1"/>
    <col min="9474" max="9474" width="1.3984375" customWidth="1"/>
    <col min="9475" max="9475" width="11" customWidth="1"/>
    <col min="9476" max="9476" width="1.3984375" customWidth="1"/>
    <col min="9477" max="9477" width="15.69921875" customWidth="1"/>
    <col min="9478" max="9478" width="1.3984375" customWidth="1"/>
    <col min="9479" max="9479" width="8.5" customWidth="1"/>
    <col min="9480" max="9481" width="12.19921875" customWidth="1"/>
    <col min="9482" max="9482" width="9.3984375" customWidth="1"/>
    <col min="9483" max="9483" width="8.5" customWidth="1"/>
    <col min="9484" max="9484" width="15.69921875" customWidth="1"/>
    <col min="9485" max="9723" width="7.8984375" customWidth="1"/>
    <col min="9725" max="9725" width="27.3984375" customWidth="1"/>
    <col min="9726" max="9726" width="1.69921875" customWidth="1"/>
    <col min="9727" max="9727" width="10.3984375" customWidth="1"/>
    <col min="9728" max="9728" width="1.09765625" customWidth="1"/>
    <col min="9729" max="9729" width="9.5" customWidth="1"/>
    <col min="9730" max="9730" width="1.3984375" customWidth="1"/>
    <col min="9731" max="9731" width="11" customWidth="1"/>
    <col min="9732" max="9732" width="1.3984375" customWidth="1"/>
    <col min="9733" max="9733" width="15.69921875" customWidth="1"/>
    <col min="9734" max="9734" width="1.3984375" customWidth="1"/>
    <col min="9735" max="9735" width="8.5" customWidth="1"/>
    <col min="9736" max="9737" width="12.19921875" customWidth="1"/>
    <col min="9738" max="9738" width="9.3984375" customWidth="1"/>
    <col min="9739" max="9739" width="8.5" customWidth="1"/>
    <col min="9740" max="9740" width="15.69921875" customWidth="1"/>
    <col min="9741" max="9979" width="7.8984375" customWidth="1"/>
    <col min="9981" max="9981" width="27.3984375" customWidth="1"/>
    <col min="9982" max="9982" width="1.69921875" customWidth="1"/>
    <col min="9983" max="9983" width="10.3984375" customWidth="1"/>
    <col min="9984" max="9984" width="1.09765625" customWidth="1"/>
    <col min="9985" max="9985" width="9.5" customWidth="1"/>
    <col min="9986" max="9986" width="1.3984375" customWidth="1"/>
    <col min="9987" max="9987" width="11" customWidth="1"/>
    <col min="9988" max="9988" width="1.3984375" customWidth="1"/>
    <col min="9989" max="9989" width="15.69921875" customWidth="1"/>
    <col min="9990" max="9990" width="1.3984375" customWidth="1"/>
    <col min="9991" max="9991" width="8.5" customWidth="1"/>
    <col min="9992" max="9993" width="12.19921875" customWidth="1"/>
    <col min="9994" max="9994" width="9.3984375" customWidth="1"/>
    <col min="9995" max="9995" width="8.5" customWidth="1"/>
    <col min="9996" max="9996" width="15.69921875" customWidth="1"/>
    <col min="9997" max="10235" width="7.8984375" customWidth="1"/>
    <col min="10237" max="10237" width="27.3984375" customWidth="1"/>
    <col min="10238" max="10238" width="1.69921875" customWidth="1"/>
    <col min="10239" max="10239" width="10.3984375" customWidth="1"/>
    <col min="10240" max="10240" width="1.09765625" customWidth="1"/>
    <col min="10241" max="10241" width="9.5" customWidth="1"/>
    <col min="10242" max="10242" width="1.3984375" customWidth="1"/>
    <col min="10243" max="10243" width="11" customWidth="1"/>
    <col min="10244" max="10244" width="1.3984375" customWidth="1"/>
    <col min="10245" max="10245" width="15.69921875" customWidth="1"/>
    <col min="10246" max="10246" width="1.3984375" customWidth="1"/>
    <col min="10247" max="10247" width="8.5" customWidth="1"/>
    <col min="10248" max="10249" width="12.19921875" customWidth="1"/>
    <col min="10250" max="10250" width="9.3984375" customWidth="1"/>
    <col min="10251" max="10251" width="8.5" customWidth="1"/>
    <col min="10252" max="10252" width="15.69921875" customWidth="1"/>
    <col min="10253" max="10491" width="7.8984375" customWidth="1"/>
    <col min="10493" max="10493" width="27.3984375" customWidth="1"/>
    <col min="10494" max="10494" width="1.69921875" customWidth="1"/>
    <col min="10495" max="10495" width="10.3984375" customWidth="1"/>
    <col min="10496" max="10496" width="1.09765625" customWidth="1"/>
    <col min="10497" max="10497" width="9.5" customWidth="1"/>
    <col min="10498" max="10498" width="1.3984375" customWidth="1"/>
    <col min="10499" max="10499" width="11" customWidth="1"/>
    <col min="10500" max="10500" width="1.3984375" customWidth="1"/>
    <col min="10501" max="10501" width="15.69921875" customWidth="1"/>
    <col min="10502" max="10502" width="1.3984375" customWidth="1"/>
    <col min="10503" max="10503" width="8.5" customWidth="1"/>
    <col min="10504" max="10505" width="12.19921875" customWidth="1"/>
    <col min="10506" max="10506" width="9.3984375" customWidth="1"/>
    <col min="10507" max="10507" width="8.5" customWidth="1"/>
    <col min="10508" max="10508" width="15.69921875" customWidth="1"/>
    <col min="10509" max="10747" width="7.8984375" customWidth="1"/>
    <col min="10749" max="10749" width="27.3984375" customWidth="1"/>
    <col min="10750" max="10750" width="1.69921875" customWidth="1"/>
    <col min="10751" max="10751" width="10.3984375" customWidth="1"/>
    <col min="10752" max="10752" width="1.09765625" customWidth="1"/>
    <col min="10753" max="10753" width="9.5" customWidth="1"/>
    <col min="10754" max="10754" width="1.3984375" customWidth="1"/>
    <col min="10755" max="10755" width="11" customWidth="1"/>
    <col min="10756" max="10756" width="1.3984375" customWidth="1"/>
    <col min="10757" max="10757" width="15.69921875" customWidth="1"/>
    <col min="10758" max="10758" width="1.3984375" customWidth="1"/>
    <col min="10759" max="10759" width="8.5" customWidth="1"/>
    <col min="10760" max="10761" width="12.19921875" customWidth="1"/>
    <col min="10762" max="10762" width="9.3984375" customWidth="1"/>
    <col min="10763" max="10763" width="8.5" customWidth="1"/>
    <col min="10764" max="10764" width="15.69921875" customWidth="1"/>
    <col min="10765" max="11003" width="7.8984375" customWidth="1"/>
    <col min="11005" max="11005" width="27.3984375" customWidth="1"/>
    <col min="11006" max="11006" width="1.69921875" customWidth="1"/>
    <col min="11007" max="11007" width="10.3984375" customWidth="1"/>
    <col min="11008" max="11008" width="1.09765625" customWidth="1"/>
    <col min="11009" max="11009" width="9.5" customWidth="1"/>
    <col min="11010" max="11010" width="1.3984375" customWidth="1"/>
    <col min="11011" max="11011" width="11" customWidth="1"/>
    <col min="11012" max="11012" width="1.3984375" customWidth="1"/>
    <col min="11013" max="11013" width="15.69921875" customWidth="1"/>
    <col min="11014" max="11014" width="1.3984375" customWidth="1"/>
    <col min="11015" max="11015" width="8.5" customWidth="1"/>
    <col min="11016" max="11017" width="12.19921875" customWidth="1"/>
    <col min="11018" max="11018" width="9.3984375" customWidth="1"/>
    <col min="11019" max="11019" width="8.5" customWidth="1"/>
    <col min="11020" max="11020" width="15.69921875" customWidth="1"/>
    <col min="11021" max="11259" width="7.8984375" customWidth="1"/>
    <col min="11261" max="11261" width="27.3984375" customWidth="1"/>
    <col min="11262" max="11262" width="1.69921875" customWidth="1"/>
    <col min="11263" max="11263" width="10.3984375" customWidth="1"/>
    <col min="11264" max="11264" width="1.09765625" customWidth="1"/>
    <col min="11265" max="11265" width="9.5" customWidth="1"/>
    <col min="11266" max="11266" width="1.3984375" customWidth="1"/>
    <col min="11267" max="11267" width="11" customWidth="1"/>
    <col min="11268" max="11268" width="1.3984375" customWidth="1"/>
    <col min="11269" max="11269" width="15.69921875" customWidth="1"/>
    <col min="11270" max="11270" width="1.3984375" customWidth="1"/>
    <col min="11271" max="11271" width="8.5" customWidth="1"/>
    <col min="11272" max="11273" width="12.19921875" customWidth="1"/>
    <col min="11274" max="11274" width="9.3984375" customWidth="1"/>
    <col min="11275" max="11275" width="8.5" customWidth="1"/>
    <col min="11276" max="11276" width="15.69921875" customWidth="1"/>
    <col min="11277" max="11515" width="7.8984375" customWidth="1"/>
    <col min="11517" max="11517" width="27.3984375" customWidth="1"/>
    <col min="11518" max="11518" width="1.69921875" customWidth="1"/>
    <col min="11519" max="11519" width="10.3984375" customWidth="1"/>
    <col min="11520" max="11520" width="1.09765625" customWidth="1"/>
    <col min="11521" max="11521" width="9.5" customWidth="1"/>
    <col min="11522" max="11522" width="1.3984375" customWidth="1"/>
    <col min="11523" max="11523" width="11" customWidth="1"/>
    <col min="11524" max="11524" width="1.3984375" customWidth="1"/>
    <col min="11525" max="11525" width="15.69921875" customWidth="1"/>
    <col min="11526" max="11526" width="1.3984375" customWidth="1"/>
    <col min="11527" max="11527" width="8.5" customWidth="1"/>
    <col min="11528" max="11529" width="12.19921875" customWidth="1"/>
    <col min="11530" max="11530" width="9.3984375" customWidth="1"/>
    <col min="11531" max="11531" width="8.5" customWidth="1"/>
    <col min="11532" max="11532" width="15.69921875" customWidth="1"/>
    <col min="11533" max="11771" width="7.8984375" customWidth="1"/>
    <col min="11773" max="11773" width="27.3984375" customWidth="1"/>
    <col min="11774" max="11774" width="1.69921875" customWidth="1"/>
    <col min="11775" max="11775" width="10.3984375" customWidth="1"/>
    <col min="11776" max="11776" width="1.09765625" customWidth="1"/>
    <col min="11777" max="11777" width="9.5" customWidth="1"/>
    <col min="11778" max="11778" width="1.3984375" customWidth="1"/>
    <col min="11779" max="11779" width="11" customWidth="1"/>
    <col min="11780" max="11780" width="1.3984375" customWidth="1"/>
    <col min="11781" max="11781" width="15.69921875" customWidth="1"/>
    <col min="11782" max="11782" width="1.3984375" customWidth="1"/>
    <col min="11783" max="11783" width="8.5" customWidth="1"/>
    <col min="11784" max="11785" width="12.19921875" customWidth="1"/>
    <col min="11786" max="11786" width="9.3984375" customWidth="1"/>
    <col min="11787" max="11787" width="8.5" customWidth="1"/>
    <col min="11788" max="11788" width="15.69921875" customWidth="1"/>
    <col min="11789" max="12027" width="7.8984375" customWidth="1"/>
    <col min="12029" max="12029" width="27.3984375" customWidth="1"/>
    <col min="12030" max="12030" width="1.69921875" customWidth="1"/>
    <col min="12031" max="12031" width="10.3984375" customWidth="1"/>
    <col min="12032" max="12032" width="1.09765625" customWidth="1"/>
    <col min="12033" max="12033" width="9.5" customWidth="1"/>
    <col min="12034" max="12034" width="1.3984375" customWidth="1"/>
    <col min="12035" max="12035" width="11" customWidth="1"/>
    <col min="12036" max="12036" width="1.3984375" customWidth="1"/>
    <col min="12037" max="12037" width="15.69921875" customWidth="1"/>
    <col min="12038" max="12038" width="1.3984375" customWidth="1"/>
    <col min="12039" max="12039" width="8.5" customWidth="1"/>
    <col min="12040" max="12041" width="12.19921875" customWidth="1"/>
    <col min="12042" max="12042" width="9.3984375" customWidth="1"/>
    <col min="12043" max="12043" width="8.5" customWidth="1"/>
    <col min="12044" max="12044" width="15.69921875" customWidth="1"/>
    <col min="12045" max="12283" width="7.8984375" customWidth="1"/>
    <col min="12285" max="12285" width="27.3984375" customWidth="1"/>
    <col min="12286" max="12286" width="1.69921875" customWidth="1"/>
    <col min="12287" max="12287" width="10.3984375" customWidth="1"/>
    <col min="12288" max="12288" width="1.09765625" customWidth="1"/>
    <col min="12289" max="12289" width="9.5" customWidth="1"/>
    <col min="12290" max="12290" width="1.3984375" customWidth="1"/>
    <col min="12291" max="12291" width="11" customWidth="1"/>
    <col min="12292" max="12292" width="1.3984375" customWidth="1"/>
    <col min="12293" max="12293" width="15.69921875" customWidth="1"/>
    <col min="12294" max="12294" width="1.3984375" customWidth="1"/>
    <col min="12295" max="12295" width="8.5" customWidth="1"/>
    <col min="12296" max="12297" width="12.19921875" customWidth="1"/>
    <col min="12298" max="12298" width="9.3984375" customWidth="1"/>
    <col min="12299" max="12299" width="8.5" customWidth="1"/>
    <col min="12300" max="12300" width="15.69921875" customWidth="1"/>
    <col min="12301" max="12539" width="7.8984375" customWidth="1"/>
    <col min="12541" max="12541" width="27.3984375" customWidth="1"/>
    <col min="12542" max="12542" width="1.69921875" customWidth="1"/>
    <col min="12543" max="12543" width="10.3984375" customWidth="1"/>
    <col min="12544" max="12544" width="1.09765625" customWidth="1"/>
    <col min="12545" max="12545" width="9.5" customWidth="1"/>
    <col min="12546" max="12546" width="1.3984375" customWidth="1"/>
    <col min="12547" max="12547" width="11" customWidth="1"/>
    <col min="12548" max="12548" width="1.3984375" customWidth="1"/>
    <col min="12549" max="12549" width="15.69921875" customWidth="1"/>
    <col min="12550" max="12550" width="1.3984375" customWidth="1"/>
    <col min="12551" max="12551" width="8.5" customWidth="1"/>
    <col min="12552" max="12553" width="12.19921875" customWidth="1"/>
    <col min="12554" max="12554" width="9.3984375" customWidth="1"/>
    <col min="12555" max="12555" width="8.5" customWidth="1"/>
    <col min="12556" max="12556" width="15.69921875" customWidth="1"/>
    <col min="12557" max="12795" width="7.8984375" customWidth="1"/>
    <col min="12797" max="12797" width="27.3984375" customWidth="1"/>
    <col min="12798" max="12798" width="1.69921875" customWidth="1"/>
    <col min="12799" max="12799" width="10.3984375" customWidth="1"/>
    <col min="12800" max="12800" width="1.09765625" customWidth="1"/>
    <col min="12801" max="12801" width="9.5" customWidth="1"/>
    <col min="12802" max="12802" width="1.3984375" customWidth="1"/>
    <col min="12803" max="12803" width="11" customWidth="1"/>
    <col min="12804" max="12804" width="1.3984375" customWidth="1"/>
    <col min="12805" max="12805" width="15.69921875" customWidth="1"/>
    <col min="12806" max="12806" width="1.3984375" customWidth="1"/>
    <col min="12807" max="12807" width="8.5" customWidth="1"/>
    <col min="12808" max="12809" width="12.19921875" customWidth="1"/>
    <col min="12810" max="12810" width="9.3984375" customWidth="1"/>
    <col min="12811" max="12811" width="8.5" customWidth="1"/>
    <col min="12812" max="12812" width="15.69921875" customWidth="1"/>
    <col min="12813" max="13051" width="7.8984375" customWidth="1"/>
    <col min="13053" max="13053" width="27.3984375" customWidth="1"/>
    <col min="13054" max="13054" width="1.69921875" customWidth="1"/>
    <col min="13055" max="13055" width="10.3984375" customWidth="1"/>
    <col min="13056" max="13056" width="1.09765625" customWidth="1"/>
    <col min="13057" max="13057" width="9.5" customWidth="1"/>
    <col min="13058" max="13058" width="1.3984375" customWidth="1"/>
    <col min="13059" max="13059" width="11" customWidth="1"/>
    <col min="13060" max="13060" width="1.3984375" customWidth="1"/>
    <col min="13061" max="13061" width="15.69921875" customWidth="1"/>
    <col min="13062" max="13062" width="1.3984375" customWidth="1"/>
    <col min="13063" max="13063" width="8.5" customWidth="1"/>
    <col min="13064" max="13065" width="12.19921875" customWidth="1"/>
    <col min="13066" max="13066" width="9.3984375" customWidth="1"/>
    <col min="13067" max="13067" width="8.5" customWidth="1"/>
    <col min="13068" max="13068" width="15.69921875" customWidth="1"/>
    <col min="13069" max="13307" width="7.8984375" customWidth="1"/>
    <col min="13309" max="13309" width="27.3984375" customWidth="1"/>
    <col min="13310" max="13310" width="1.69921875" customWidth="1"/>
    <col min="13311" max="13311" width="10.3984375" customWidth="1"/>
    <col min="13312" max="13312" width="1.09765625" customWidth="1"/>
    <col min="13313" max="13313" width="9.5" customWidth="1"/>
    <col min="13314" max="13314" width="1.3984375" customWidth="1"/>
    <col min="13315" max="13315" width="11" customWidth="1"/>
    <col min="13316" max="13316" width="1.3984375" customWidth="1"/>
    <col min="13317" max="13317" width="15.69921875" customWidth="1"/>
    <col min="13318" max="13318" width="1.3984375" customWidth="1"/>
    <col min="13319" max="13319" width="8.5" customWidth="1"/>
    <col min="13320" max="13321" width="12.19921875" customWidth="1"/>
    <col min="13322" max="13322" width="9.3984375" customWidth="1"/>
    <col min="13323" max="13323" width="8.5" customWidth="1"/>
    <col min="13324" max="13324" width="15.69921875" customWidth="1"/>
    <col min="13325" max="13563" width="7.8984375" customWidth="1"/>
    <col min="13565" max="13565" width="27.3984375" customWidth="1"/>
    <col min="13566" max="13566" width="1.69921875" customWidth="1"/>
    <col min="13567" max="13567" width="10.3984375" customWidth="1"/>
    <col min="13568" max="13568" width="1.09765625" customWidth="1"/>
    <col min="13569" max="13569" width="9.5" customWidth="1"/>
    <col min="13570" max="13570" width="1.3984375" customWidth="1"/>
    <col min="13571" max="13571" width="11" customWidth="1"/>
    <col min="13572" max="13572" width="1.3984375" customWidth="1"/>
    <col min="13573" max="13573" width="15.69921875" customWidth="1"/>
    <col min="13574" max="13574" width="1.3984375" customWidth="1"/>
    <col min="13575" max="13575" width="8.5" customWidth="1"/>
    <col min="13576" max="13577" width="12.19921875" customWidth="1"/>
    <col min="13578" max="13578" width="9.3984375" customWidth="1"/>
    <col min="13579" max="13579" width="8.5" customWidth="1"/>
    <col min="13580" max="13580" width="15.69921875" customWidth="1"/>
    <col min="13581" max="13819" width="7.8984375" customWidth="1"/>
    <col min="13821" max="13821" width="27.3984375" customWidth="1"/>
    <col min="13822" max="13822" width="1.69921875" customWidth="1"/>
    <col min="13823" max="13823" width="10.3984375" customWidth="1"/>
    <col min="13824" max="13824" width="1.09765625" customWidth="1"/>
    <col min="13825" max="13825" width="9.5" customWidth="1"/>
    <col min="13826" max="13826" width="1.3984375" customWidth="1"/>
    <col min="13827" max="13827" width="11" customWidth="1"/>
    <col min="13828" max="13828" width="1.3984375" customWidth="1"/>
    <col min="13829" max="13829" width="15.69921875" customWidth="1"/>
    <col min="13830" max="13830" width="1.3984375" customWidth="1"/>
    <col min="13831" max="13831" width="8.5" customWidth="1"/>
    <col min="13832" max="13833" width="12.19921875" customWidth="1"/>
    <col min="13834" max="13834" width="9.3984375" customWidth="1"/>
    <col min="13835" max="13835" width="8.5" customWidth="1"/>
    <col min="13836" max="13836" width="15.69921875" customWidth="1"/>
    <col min="13837" max="14075" width="7.8984375" customWidth="1"/>
    <col min="14077" max="14077" width="27.3984375" customWidth="1"/>
    <col min="14078" max="14078" width="1.69921875" customWidth="1"/>
    <col min="14079" max="14079" width="10.3984375" customWidth="1"/>
    <col min="14080" max="14080" width="1.09765625" customWidth="1"/>
    <col min="14081" max="14081" width="9.5" customWidth="1"/>
    <col min="14082" max="14082" width="1.3984375" customWidth="1"/>
    <col min="14083" max="14083" width="11" customWidth="1"/>
    <col min="14084" max="14084" width="1.3984375" customWidth="1"/>
    <col min="14085" max="14085" width="15.69921875" customWidth="1"/>
    <col min="14086" max="14086" width="1.3984375" customWidth="1"/>
    <col min="14087" max="14087" width="8.5" customWidth="1"/>
    <col min="14088" max="14089" width="12.19921875" customWidth="1"/>
    <col min="14090" max="14090" width="9.3984375" customWidth="1"/>
    <col min="14091" max="14091" width="8.5" customWidth="1"/>
    <col min="14092" max="14092" width="15.69921875" customWidth="1"/>
    <col min="14093" max="14331" width="7.8984375" customWidth="1"/>
    <col min="14333" max="14333" width="27.3984375" customWidth="1"/>
    <col min="14334" max="14334" width="1.69921875" customWidth="1"/>
    <col min="14335" max="14335" width="10.3984375" customWidth="1"/>
    <col min="14336" max="14336" width="1.09765625" customWidth="1"/>
    <col min="14337" max="14337" width="9.5" customWidth="1"/>
    <col min="14338" max="14338" width="1.3984375" customWidth="1"/>
    <col min="14339" max="14339" width="11" customWidth="1"/>
    <col min="14340" max="14340" width="1.3984375" customWidth="1"/>
    <col min="14341" max="14341" width="15.69921875" customWidth="1"/>
    <col min="14342" max="14342" width="1.3984375" customWidth="1"/>
    <col min="14343" max="14343" width="8.5" customWidth="1"/>
    <col min="14344" max="14345" width="12.19921875" customWidth="1"/>
    <col min="14346" max="14346" width="9.3984375" customWidth="1"/>
    <col min="14347" max="14347" width="8.5" customWidth="1"/>
    <col min="14348" max="14348" width="15.69921875" customWidth="1"/>
    <col min="14349" max="14587" width="7.8984375" customWidth="1"/>
    <col min="14589" max="14589" width="27.3984375" customWidth="1"/>
    <col min="14590" max="14590" width="1.69921875" customWidth="1"/>
    <col min="14591" max="14591" width="10.3984375" customWidth="1"/>
    <col min="14592" max="14592" width="1.09765625" customWidth="1"/>
    <col min="14593" max="14593" width="9.5" customWidth="1"/>
    <col min="14594" max="14594" width="1.3984375" customWidth="1"/>
    <col min="14595" max="14595" width="11" customWidth="1"/>
    <col min="14596" max="14596" width="1.3984375" customWidth="1"/>
    <col min="14597" max="14597" width="15.69921875" customWidth="1"/>
    <col min="14598" max="14598" width="1.3984375" customWidth="1"/>
    <col min="14599" max="14599" width="8.5" customWidth="1"/>
    <col min="14600" max="14601" width="12.19921875" customWidth="1"/>
    <col min="14602" max="14602" width="9.3984375" customWidth="1"/>
    <col min="14603" max="14603" width="8.5" customWidth="1"/>
    <col min="14604" max="14604" width="15.69921875" customWidth="1"/>
    <col min="14605" max="14843" width="7.8984375" customWidth="1"/>
    <col min="14845" max="14845" width="27.3984375" customWidth="1"/>
    <col min="14846" max="14846" width="1.69921875" customWidth="1"/>
    <col min="14847" max="14847" width="10.3984375" customWidth="1"/>
    <col min="14848" max="14848" width="1.09765625" customWidth="1"/>
    <col min="14849" max="14849" width="9.5" customWidth="1"/>
    <col min="14850" max="14850" width="1.3984375" customWidth="1"/>
    <col min="14851" max="14851" width="11" customWidth="1"/>
    <col min="14852" max="14852" width="1.3984375" customWidth="1"/>
    <col min="14853" max="14853" width="15.69921875" customWidth="1"/>
    <col min="14854" max="14854" width="1.3984375" customWidth="1"/>
    <col min="14855" max="14855" width="8.5" customWidth="1"/>
    <col min="14856" max="14857" width="12.19921875" customWidth="1"/>
    <col min="14858" max="14858" width="9.3984375" customWidth="1"/>
    <col min="14859" max="14859" width="8.5" customWidth="1"/>
    <col min="14860" max="14860" width="15.69921875" customWidth="1"/>
    <col min="14861" max="15099" width="7.8984375" customWidth="1"/>
    <col min="15101" max="15101" width="27.3984375" customWidth="1"/>
    <col min="15102" max="15102" width="1.69921875" customWidth="1"/>
    <col min="15103" max="15103" width="10.3984375" customWidth="1"/>
    <col min="15104" max="15104" width="1.09765625" customWidth="1"/>
    <col min="15105" max="15105" width="9.5" customWidth="1"/>
    <col min="15106" max="15106" width="1.3984375" customWidth="1"/>
    <col min="15107" max="15107" width="11" customWidth="1"/>
    <col min="15108" max="15108" width="1.3984375" customWidth="1"/>
    <col min="15109" max="15109" width="15.69921875" customWidth="1"/>
    <col min="15110" max="15110" width="1.3984375" customWidth="1"/>
    <col min="15111" max="15111" width="8.5" customWidth="1"/>
    <col min="15112" max="15113" width="12.19921875" customWidth="1"/>
    <col min="15114" max="15114" width="9.3984375" customWidth="1"/>
    <col min="15115" max="15115" width="8.5" customWidth="1"/>
    <col min="15116" max="15116" width="15.69921875" customWidth="1"/>
    <col min="15117" max="15355" width="7.8984375" customWidth="1"/>
    <col min="15357" max="15357" width="27.3984375" customWidth="1"/>
    <col min="15358" max="15358" width="1.69921875" customWidth="1"/>
    <col min="15359" max="15359" width="10.3984375" customWidth="1"/>
    <col min="15360" max="15360" width="1.09765625" customWidth="1"/>
    <col min="15361" max="15361" width="9.5" customWidth="1"/>
    <col min="15362" max="15362" width="1.3984375" customWidth="1"/>
    <col min="15363" max="15363" width="11" customWidth="1"/>
    <col min="15364" max="15364" width="1.3984375" customWidth="1"/>
    <col min="15365" max="15365" width="15.69921875" customWidth="1"/>
    <col min="15366" max="15366" width="1.3984375" customWidth="1"/>
    <col min="15367" max="15367" width="8.5" customWidth="1"/>
    <col min="15368" max="15369" width="12.19921875" customWidth="1"/>
    <col min="15370" max="15370" width="9.3984375" customWidth="1"/>
    <col min="15371" max="15371" width="8.5" customWidth="1"/>
    <col min="15372" max="15372" width="15.69921875" customWidth="1"/>
    <col min="15373" max="15611" width="7.8984375" customWidth="1"/>
    <col min="15613" max="15613" width="27.3984375" customWidth="1"/>
    <col min="15614" max="15614" width="1.69921875" customWidth="1"/>
    <col min="15615" max="15615" width="10.3984375" customWidth="1"/>
    <col min="15616" max="15616" width="1.09765625" customWidth="1"/>
    <col min="15617" max="15617" width="9.5" customWidth="1"/>
    <col min="15618" max="15618" width="1.3984375" customWidth="1"/>
    <col min="15619" max="15619" width="11" customWidth="1"/>
    <col min="15620" max="15620" width="1.3984375" customWidth="1"/>
    <col min="15621" max="15621" width="15.69921875" customWidth="1"/>
    <col min="15622" max="15622" width="1.3984375" customWidth="1"/>
    <col min="15623" max="15623" width="8.5" customWidth="1"/>
    <col min="15624" max="15625" width="12.19921875" customWidth="1"/>
    <col min="15626" max="15626" width="9.3984375" customWidth="1"/>
    <col min="15627" max="15627" width="8.5" customWidth="1"/>
    <col min="15628" max="15628" width="15.69921875" customWidth="1"/>
    <col min="15629" max="15867" width="7.8984375" customWidth="1"/>
    <col min="15869" max="15869" width="27.3984375" customWidth="1"/>
    <col min="15870" max="15870" width="1.69921875" customWidth="1"/>
    <col min="15871" max="15871" width="10.3984375" customWidth="1"/>
    <col min="15872" max="15872" width="1.09765625" customWidth="1"/>
    <col min="15873" max="15873" width="9.5" customWidth="1"/>
    <col min="15874" max="15874" width="1.3984375" customWidth="1"/>
    <col min="15875" max="15875" width="11" customWidth="1"/>
    <col min="15876" max="15876" width="1.3984375" customWidth="1"/>
    <col min="15877" max="15877" width="15.69921875" customWidth="1"/>
    <col min="15878" max="15878" width="1.3984375" customWidth="1"/>
    <col min="15879" max="15879" width="8.5" customWidth="1"/>
    <col min="15880" max="15881" width="12.19921875" customWidth="1"/>
    <col min="15882" max="15882" width="9.3984375" customWidth="1"/>
    <col min="15883" max="15883" width="8.5" customWidth="1"/>
    <col min="15884" max="15884" width="15.69921875" customWidth="1"/>
    <col min="15885" max="16123" width="7.8984375" customWidth="1"/>
    <col min="16125" max="16125" width="27.3984375" customWidth="1"/>
    <col min="16126" max="16126" width="1.69921875" customWidth="1"/>
    <col min="16127" max="16127" width="10.3984375" customWidth="1"/>
    <col min="16128" max="16128" width="1.09765625" customWidth="1"/>
    <col min="16129" max="16129" width="9.5" customWidth="1"/>
    <col min="16130" max="16130" width="1.3984375" customWidth="1"/>
    <col min="16131" max="16131" width="11" customWidth="1"/>
    <col min="16132" max="16132" width="1.3984375" customWidth="1"/>
    <col min="16133" max="16133" width="15.69921875" customWidth="1"/>
    <col min="16134" max="16134" width="1.3984375" customWidth="1"/>
    <col min="16135" max="16135" width="8.5" customWidth="1"/>
    <col min="16136" max="16137" width="12.19921875" customWidth="1"/>
    <col min="16138" max="16138" width="9.3984375" customWidth="1"/>
    <col min="16139" max="16139" width="8.5" customWidth="1"/>
    <col min="16140" max="16140" width="15.69921875" customWidth="1"/>
    <col min="16141" max="16379" width="7.8984375" customWidth="1"/>
  </cols>
  <sheetData>
    <row r="1" spans="1:12" ht="22.5" customHeight="1" thickBot="1" x14ac:dyDescent="0.4">
      <c r="A1" s="308" t="s">
        <v>127</v>
      </c>
      <c r="B1" s="308"/>
      <c r="C1" s="308"/>
      <c r="D1" s="308"/>
      <c r="E1" s="308"/>
      <c r="F1" s="308"/>
      <c r="G1" s="308"/>
      <c r="H1" s="308"/>
      <c r="I1" s="308"/>
      <c r="J1" s="308"/>
      <c r="K1" s="308"/>
      <c r="L1" s="308"/>
    </row>
    <row r="2" spans="1:12" s="69" customFormat="1" ht="16.2" thickTop="1" x14ac:dyDescent="0.3">
      <c r="A2" s="62"/>
      <c r="B2" s="62"/>
      <c r="C2" s="63"/>
      <c r="D2" s="64" t="s">
        <v>1</v>
      </c>
      <c r="E2" s="65"/>
      <c r="F2" s="65"/>
      <c r="G2" s="65"/>
      <c r="H2" s="64" t="s">
        <v>57</v>
      </c>
      <c r="I2" s="66" t="s">
        <v>58</v>
      </c>
      <c r="J2" s="67" t="s">
        <v>59</v>
      </c>
      <c r="K2" s="68" t="s">
        <v>60</v>
      </c>
      <c r="L2" s="64" t="s">
        <v>60</v>
      </c>
    </row>
    <row r="3" spans="1:12" s="69" customFormat="1" ht="14.7" customHeight="1" x14ac:dyDescent="0.3">
      <c r="A3" s="195" t="s">
        <v>61</v>
      </c>
      <c r="B3" s="196"/>
      <c r="C3" s="195"/>
      <c r="D3" s="197" t="s">
        <v>62</v>
      </c>
      <c r="E3" s="198"/>
      <c r="F3" s="198"/>
      <c r="G3" s="198"/>
      <c r="H3" s="197" t="s">
        <v>63</v>
      </c>
      <c r="I3" s="199" t="s">
        <v>12</v>
      </c>
      <c r="J3" s="200" t="s">
        <v>64</v>
      </c>
      <c r="K3" s="201" t="s">
        <v>65</v>
      </c>
      <c r="L3" s="197" t="s">
        <v>65</v>
      </c>
    </row>
    <row r="4" spans="1:12" s="69" customFormat="1" x14ac:dyDescent="0.3">
      <c r="A4" s="70"/>
      <c r="B4" s="71"/>
      <c r="C4" s="71"/>
      <c r="D4" s="72"/>
      <c r="E4" s="73"/>
      <c r="F4" s="73"/>
      <c r="G4" s="73"/>
      <c r="H4" s="74" t="s">
        <v>66</v>
      </c>
      <c r="I4" s="75" t="s">
        <v>67</v>
      </c>
      <c r="J4" s="76" t="s">
        <v>68</v>
      </c>
      <c r="K4" s="77" t="s">
        <v>69</v>
      </c>
      <c r="L4" s="74" t="s">
        <v>12</v>
      </c>
    </row>
    <row r="5" spans="1:12" x14ac:dyDescent="0.3">
      <c r="A5" s="78" t="s">
        <v>81</v>
      </c>
      <c r="B5" s="202"/>
      <c r="C5" s="202"/>
      <c r="D5" s="203">
        <f>SUM(D6:D9)</f>
        <v>48090</v>
      </c>
      <c r="E5" s="204"/>
      <c r="F5" s="204"/>
      <c r="G5" s="204"/>
      <c r="H5" s="205"/>
      <c r="I5" s="206"/>
      <c r="J5" s="207"/>
      <c r="K5" s="80" t="s">
        <v>70</v>
      </c>
      <c r="L5" s="81">
        <f>SUM(L6:L9)</f>
        <v>6536.9059999999999</v>
      </c>
    </row>
    <row r="6" spans="1:12" x14ac:dyDescent="0.3">
      <c r="A6" s="79" t="s">
        <v>77</v>
      </c>
      <c r="B6" s="202"/>
      <c r="C6" s="202"/>
      <c r="D6" s="208">
        <v>15840</v>
      </c>
      <c r="E6" s="204"/>
      <c r="F6" s="204"/>
      <c r="G6" s="204"/>
      <c r="H6" s="205">
        <v>25</v>
      </c>
      <c r="I6" s="206">
        <v>0</v>
      </c>
      <c r="J6" s="207">
        <v>0.06</v>
      </c>
      <c r="K6" s="209">
        <v>0.13589999999999999</v>
      </c>
      <c r="L6" s="210">
        <f>K6*(D6-I6)+(J6*I6)</f>
        <v>2152.6559999999999</v>
      </c>
    </row>
    <row r="7" spans="1:12" x14ac:dyDescent="0.3">
      <c r="A7" s="79" t="s">
        <v>80</v>
      </c>
      <c r="B7" s="202"/>
      <c r="C7" s="202"/>
      <c r="D7" s="208">
        <v>20000</v>
      </c>
      <c r="E7" s="204"/>
      <c r="F7" s="204"/>
      <c r="G7" s="204"/>
      <c r="H7" s="205">
        <v>40</v>
      </c>
      <c r="I7" s="206">
        <v>5000</v>
      </c>
      <c r="J7" s="207">
        <v>0.06</v>
      </c>
      <c r="K7" s="209">
        <v>0.161</v>
      </c>
      <c r="L7" s="210">
        <f>K7*(D7-I7)+(J7*I7)</f>
        <v>2715</v>
      </c>
    </row>
    <row r="8" spans="1:12" x14ac:dyDescent="0.3">
      <c r="A8" s="79" t="s">
        <v>78</v>
      </c>
      <c r="B8" s="202"/>
      <c r="C8" s="202"/>
      <c r="D8" s="208">
        <v>12000</v>
      </c>
      <c r="E8" s="204"/>
      <c r="F8" s="204"/>
      <c r="G8" s="204"/>
      <c r="H8" s="205">
        <v>20</v>
      </c>
      <c r="I8" s="206">
        <v>3000</v>
      </c>
      <c r="J8" s="207">
        <v>0.06</v>
      </c>
      <c r="K8" s="209">
        <v>0.161</v>
      </c>
      <c r="L8" s="210">
        <f>K8*(D8-I8)+(J8*I8)</f>
        <v>1629</v>
      </c>
    </row>
    <row r="9" spans="1:12" x14ac:dyDescent="0.3">
      <c r="A9" s="79" t="s">
        <v>79</v>
      </c>
      <c r="B9" s="202"/>
      <c r="C9" s="202"/>
      <c r="D9" s="208">
        <v>250</v>
      </c>
      <c r="E9" s="204"/>
      <c r="F9" s="204"/>
      <c r="G9" s="204"/>
      <c r="H9" s="205">
        <v>15</v>
      </c>
      <c r="I9" s="206">
        <v>0</v>
      </c>
      <c r="J9" s="207">
        <v>0.06</v>
      </c>
      <c r="K9" s="209">
        <v>0.161</v>
      </c>
      <c r="L9" s="210">
        <f>K9*(D9-I9)+(J9*I9)</f>
        <v>40.25</v>
      </c>
    </row>
    <row r="10" spans="1:12" ht="8.4" customHeight="1" x14ac:dyDescent="0.3">
      <c r="A10" s="202"/>
      <c r="B10" s="202"/>
      <c r="C10" s="202"/>
      <c r="D10" s="208"/>
      <c r="E10" s="204"/>
      <c r="F10" s="204"/>
      <c r="G10" s="204"/>
      <c r="H10" s="205"/>
      <c r="I10" s="206"/>
      <c r="J10" s="207"/>
      <c r="K10" s="209"/>
      <c r="L10" s="211"/>
    </row>
    <row r="11" spans="1:12" x14ac:dyDescent="0.3">
      <c r="A11" s="78" t="s">
        <v>82</v>
      </c>
      <c r="B11" s="202"/>
      <c r="C11" s="202"/>
      <c r="D11" s="203">
        <f>SUM(D12:D15)</f>
        <v>65000</v>
      </c>
      <c r="E11" s="204"/>
      <c r="F11" s="204"/>
      <c r="G11" s="204"/>
      <c r="H11" s="205"/>
      <c r="I11" s="206"/>
      <c r="J11" s="207"/>
      <c r="K11" s="80" t="s">
        <v>70</v>
      </c>
      <c r="L11" s="81">
        <f>SUM(L12:L15)</f>
        <v>5529.9896209351646</v>
      </c>
    </row>
    <row r="12" spans="1:12" x14ac:dyDescent="0.3">
      <c r="A12" s="212" t="s">
        <v>83</v>
      </c>
      <c r="B12" s="202"/>
      <c r="C12" s="202"/>
      <c r="D12" s="208">
        <v>30000</v>
      </c>
      <c r="E12" s="204"/>
      <c r="F12" s="204"/>
      <c r="G12" s="204"/>
      <c r="H12" s="205">
        <v>12</v>
      </c>
      <c r="I12" s="206">
        <v>6000</v>
      </c>
      <c r="J12" s="207">
        <v>0.06</v>
      </c>
      <c r="K12" s="213">
        <v>8.7184556976851402E-2</v>
      </c>
      <c r="L12" s="210">
        <f>K12*(D12-I12)+(J12*I12)</f>
        <v>2452.4293674444339</v>
      </c>
    </row>
    <row r="13" spans="1:12" x14ac:dyDescent="0.3">
      <c r="A13" s="212" t="s">
        <v>84</v>
      </c>
      <c r="B13" s="202"/>
      <c r="C13" s="202"/>
      <c r="D13" s="208">
        <v>20000</v>
      </c>
      <c r="E13" s="204"/>
      <c r="F13" s="204"/>
      <c r="G13" s="204"/>
      <c r="H13" s="205">
        <v>10</v>
      </c>
      <c r="I13" s="206">
        <v>5000</v>
      </c>
      <c r="J13" s="207">
        <v>0.06</v>
      </c>
      <c r="K13" s="213">
        <v>8.7184556976851402E-2</v>
      </c>
      <c r="L13" s="210">
        <f>K13*(D13-I13)+(J13*I13)</f>
        <v>1607.768354652771</v>
      </c>
    </row>
    <row r="14" spans="1:12" x14ac:dyDescent="0.3">
      <c r="A14" s="212" t="s">
        <v>132</v>
      </c>
      <c r="B14" s="202"/>
      <c r="C14" s="202"/>
      <c r="D14" s="208">
        <v>10000</v>
      </c>
      <c r="E14" s="204"/>
      <c r="F14" s="204"/>
      <c r="G14" s="204"/>
      <c r="H14" s="205">
        <v>10</v>
      </c>
      <c r="I14" s="206">
        <v>3000</v>
      </c>
      <c r="J14" s="207">
        <v>0.06</v>
      </c>
      <c r="K14" s="213">
        <v>8.7184556976851402E-2</v>
      </c>
      <c r="L14" s="210">
        <f>K14*(D14-I14)+(J14*I14)</f>
        <v>790.29189883795982</v>
      </c>
    </row>
    <row r="15" spans="1:12" x14ac:dyDescent="0.3">
      <c r="A15" s="212" t="s">
        <v>85</v>
      </c>
      <c r="B15" s="202"/>
      <c r="C15" s="202"/>
      <c r="D15" s="208">
        <v>5000</v>
      </c>
      <c r="E15" s="204"/>
      <c r="F15" s="204"/>
      <c r="G15" s="204"/>
      <c r="H15" s="205">
        <v>10</v>
      </c>
      <c r="I15" s="206">
        <v>0</v>
      </c>
      <c r="J15" s="207">
        <v>0.06</v>
      </c>
      <c r="K15" s="209">
        <v>0.13589999999999999</v>
      </c>
      <c r="L15" s="210">
        <f>K15*(D15-I15)+(J15*I15)</f>
        <v>679.5</v>
      </c>
    </row>
    <row r="16" spans="1:12" ht="6.75" customHeight="1" x14ac:dyDescent="0.3">
      <c r="A16" s="202"/>
      <c r="B16" s="202"/>
      <c r="C16" s="202"/>
      <c r="D16" s="214"/>
      <c r="E16" s="204"/>
      <c r="F16" s="204"/>
      <c r="G16" s="204"/>
      <c r="H16" s="205"/>
      <c r="I16" s="206"/>
      <c r="J16" s="207"/>
      <c r="K16" s="209"/>
      <c r="L16" s="211"/>
    </row>
    <row r="17" spans="1:12" ht="15" customHeight="1" x14ac:dyDescent="0.3">
      <c r="A17" s="82" t="s">
        <v>92</v>
      </c>
      <c r="B17" s="215"/>
      <c r="C17" s="202"/>
      <c r="D17" s="203">
        <f>SUM(I18:I20)</f>
        <v>66000</v>
      </c>
      <c r="E17" s="204"/>
      <c r="F17" s="204"/>
      <c r="G17" s="204"/>
      <c r="H17" s="216" t="s">
        <v>90</v>
      </c>
      <c r="I17" s="217" t="s">
        <v>91</v>
      </c>
      <c r="J17" s="207"/>
      <c r="K17" s="209"/>
      <c r="L17" s="210"/>
    </row>
    <row r="18" spans="1:12" ht="15" customHeight="1" x14ac:dyDescent="0.3">
      <c r="A18" s="79" t="s">
        <v>86</v>
      </c>
      <c r="B18" s="202"/>
      <c r="C18" s="202"/>
      <c r="D18" s="208">
        <v>1800</v>
      </c>
      <c r="E18" s="204"/>
      <c r="F18" s="204"/>
      <c r="G18" s="204"/>
      <c r="H18" s="218">
        <v>10</v>
      </c>
      <c r="I18" s="206">
        <f>H18*D18</f>
        <v>18000</v>
      </c>
      <c r="J18" s="207"/>
      <c r="K18" s="209"/>
      <c r="L18" s="210"/>
    </row>
    <row r="19" spans="1:12" ht="15" customHeight="1" x14ac:dyDescent="0.3">
      <c r="A19" s="79" t="s">
        <v>87</v>
      </c>
      <c r="B19" s="202"/>
      <c r="C19" s="202"/>
      <c r="D19" s="208">
        <v>1000</v>
      </c>
      <c r="E19" s="204"/>
      <c r="F19" s="204"/>
      <c r="G19" s="204"/>
      <c r="H19" s="218">
        <v>40</v>
      </c>
      <c r="I19" s="206">
        <f>H19*D19</f>
        <v>40000</v>
      </c>
      <c r="J19" s="207"/>
      <c r="K19" s="209"/>
      <c r="L19" s="210"/>
    </row>
    <row r="20" spans="1:12" ht="15" customHeight="1" x14ac:dyDescent="0.3">
      <c r="A20" s="79" t="s">
        <v>126</v>
      </c>
      <c r="B20" s="202"/>
      <c r="C20" s="202"/>
      <c r="D20" s="208">
        <v>4000</v>
      </c>
      <c r="E20" s="204"/>
      <c r="F20" s="204"/>
      <c r="G20" s="204"/>
      <c r="H20" s="218">
        <v>2</v>
      </c>
      <c r="I20" s="206">
        <f>H20*D20</f>
        <v>8000</v>
      </c>
      <c r="J20" s="207"/>
      <c r="K20" s="209"/>
      <c r="L20" s="210"/>
    </row>
    <row r="21" spans="1:12" ht="6.75" customHeight="1" x14ac:dyDescent="0.3">
      <c r="A21" s="202"/>
      <c r="B21" s="202"/>
      <c r="C21" s="202"/>
      <c r="D21" s="214"/>
      <c r="E21" s="204"/>
      <c r="F21" s="204"/>
      <c r="G21" s="204"/>
      <c r="H21" s="205"/>
      <c r="I21" s="206"/>
      <c r="J21" s="207"/>
      <c r="K21" s="209"/>
      <c r="L21" s="211"/>
    </row>
    <row r="22" spans="1:12" x14ac:dyDescent="0.3">
      <c r="A22" s="202" t="s">
        <v>71</v>
      </c>
      <c r="B22" s="202"/>
      <c r="C22" s="202"/>
      <c r="D22" s="208">
        <f>SUM(D5:E15)-(D5+D11)</f>
        <v>113090</v>
      </c>
      <c r="E22" s="204"/>
      <c r="F22" s="204"/>
      <c r="G22" s="204"/>
      <c r="H22" s="219"/>
      <c r="I22" s="220">
        <f>SUM(I5:I20)</f>
        <v>88000</v>
      </c>
      <c r="J22" s="207"/>
      <c r="K22" s="209"/>
      <c r="L22" s="211"/>
    </row>
    <row r="23" spans="1:12" x14ac:dyDescent="0.3">
      <c r="A23" s="202" t="s">
        <v>72</v>
      </c>
      <c r="B23" s="202"/>
      <c r="C23" s="202"/>
      <c r="D23" s="214">
        <f>D22/head</f>
        <v>2261.8000000000002</v>
      </c>
      <c r="E23" s="204"/>
      <c r="F23" s="204"/>
      <c r="G23" s="204"/>
      <c r="H23" s="205"/>
      <c r="I23" s="206">
        <f>I22/head</f>
        <v>1760</v>
      </c>
      <c r="J23" s="207"/>
      <c r="K23" s="209"/>
      <c r="L23" s="211"/>
    </row>
    <row r="24" spans="1:12" ht="6.75" customHeight="1" x14ac:dyDescent="0.3">
      <c r="A24" s="202"/>
      <c r="B24" s="202"/>
      <c r="C24" s="202"/>
      <c r="D24" s="214"/>
      <c r="E24" s="204"/>
      <c r="F24" s="204"/>
      <c r="G24" s="204"/>
      <c r="H24" s="205"/>
      <c r="I24" s="206"/>
      <c r="J24" s="207"/>
      <c r="K24" s="209"/>
      <c r="L24" s="211"/>
    </row>
    <row r="25" spans="1:12" ht="15" customHeight="1" x14ac:dyDescent="0.3">
      <c r="A25" s="202" t="s">
        <v>73</v>
      </c>
      <c r="B25" s="215"/>
      <c r="C25" s="202"/>
      <c r="D25" s="208">
        <f>AVERAGE(D22,I22)</f>
        <v>100545</v>
      </c>
      <c r="E25" s="204"/>
      <c r="F25" s="204"/>
      <c r="G25" s="204"/>
      <c r="H25" s="205"/>
      <c r="I25" s="206"/>
      <c r="J25" s="207"/>
      <c r="K25" s="209"/>
      <c r="L25" s="211"/>
    </row>
    <row r="26" spans="1:12" ht="15" customHeight="1" x14ac:dyDescent="0.3">
      <c r="A26" s="202" t="s">
        <v>74</v>
      </c>
      <c r="B26" s="215"/>
      <c r="C26" s="202"/>
      <c r="D26" s="208">
        <f>D25/head</f>
        <v>2010.9</v>
      </c>
      <c r="E26" s="204"/>
      <c r="F26" s="204"/>
      <c r="G26" s="204"/>
      <c r="H26" s="205"/>
      <c r="I26" s="206"/>
      <c r="J26" s="207"/>
      <c r="K26" s="209"/>
      <c r="L26" s="211"/>
    </row>
    <row r="27" spans="1:12" ht="6.75" customHeight="1" x14ac:dyDescent="0.3">
      <c r="A27" s="202"/>
      <c r="B27" s="202"/>
      <c r="C27" s="202"/>
      <c r="D27" s="214"/>
      <c r="E27" s="204"/>
      <c r="F27" s="204"/>
      <c r="G27" s="204"/>
      <c r="H27" s="205"/>
      <c r="I27" s="206"/>
      <c r="J27" s="207"/>
      <c r="K27" s="209"/>
      <c r="L27" s="211"/>
    </row>
    <row r="28" spans="1:12" x14ac:dyDescent="0.3">
      <c r="A28" s="202" t="s">
        <v>75</v>
      </c>
      <c r="B28" s="202"/>
      <c r="C28" s="202"/>
      <c r="D28" s="208">
        <f>L28</f>
        <v>17596.885241870328</v>
      </c>
      <c r="E28" s="204"/>
      <c r="F28" s="204"/>
      <c r="G28" s="204"/>
      <c r="H28" s="219"/>
      <c r="I28" s="220"/>
      <c r="J28" s="207"/>
      <c r="K28" s="209"/>
      <c r="L28" s="210">
        <f>SUM($L$5:$L$23)-$L$5</f>
        <v>17596.885241870328</v>
      </c>
    </row>
    <row r="29" spans="1:12" x14ac:dyDescent="0.3">
      <c r="A29" s="202" t="s">
        <v>76</v>
      </c>
      <c r="B29" s="202"/>
      <c r="C29" s="202"/>
      <c r="D29" s="208">
        <f>L29</f>
        <v>351.93770483740656</v>
      </c>
      <c r="E29" s="204"/>
      <c r="F29" s="204"/>
      <c r="G29" s="204"/>
      <c r="H29" s="205"/>
      <c r="I29" s="206"/>
      <c r="J29" s="207"/>
      <c r="K29" s="209"/>
      <c r="L29" s="221">
        <f>L28/head</f>
        <v>351.93770483740656</v>
      </c>
    </row>
    <row r="30" spans="1:12" ht="1.5" customHeight="1" x14ac:dyDescent="0.3">
      <c r="A30" s="222"/>
      <c r="B30" s="222"/>
      <c r="C30" s="222"/>
      <c r="D30" s="223"/>
      <c r="E30" s="224"/>
      <c r="F30" s="224"/>
      <c r="G30" s="224"/>
      <c r="H30" s="225"/>
      <c r="I30" s="226"/>
      <c r="J30" s="227"/>
      <c r="K30" s="228"/>
      <c r="L30" s="229"/>
    </row>
    <row r="31" spans="1:12" x14ac:dyDescent="0.3">
      <c r="A31" s="83"/>
      <c r="B31" s="83"/>
      <c r="C31" s="83"/>
      <c r="D31" s="83"/>
      <c r="E31" s="83"/>
      <c r="F31" s="83"/>
      <c r="G31" s="83"/>
      <c r="H31" s="84"/>
      <c r="I31" s="85"/>
      <c r="J31" s="230"/>
      <c r="K31" s="86"/>
      <c r="L31" s="87"/>
    </row>
    <row r="32" spans="1:12" x14ac:dyDescent="0.3">
      <c r="A32" s="83"/>
      <c r="B32" s="83"/>
      <c r="C32" s="83"/>
      <c r="D32" s="83"/>
      <c r="E32" s="83"/>
      <c r="F32" s="83"/>
      <c r="G32" s="83"/>
      <c r="H32" s="84"/>
      <c r="I32" s="85"/>
      <c r="J32" s="230"/>
      <c r="K32" s="86"/>
      <c r="L32" s="87"/>
    </row>
    <row r="33" spans="1:12" x14ac:dyDescent="0.3">
      <c r="A33" s="83"/>
      <c r="B33" s="83"/>
      <c r="C33" s="83"/>
      <c r="D33" s="83"/>
      <c r="E33" s="83"/>
      <c r="F33" s="83"/>
      <c r="G33" s="83"/>
      <c r="H33" s="84"/>
      <c r="I33" s="85"/>
      <c r="J33" s="230"/>
      <c r="K33" s="86"/>
      <c r="L33" s="87"/>
    </row>
    <row r="34" spans="1:12" x14ac:dyDescent="0.3">
      <c r="A34" s="83"/>
      <c r="B34" s="83"/>
      <c r="C34" s="83"/>
      <c r="D34" s="83"/>
      <c r="E34" s="83"/>
      <c r="F34" s="83"/>
      <c r="G34" s="83"/>
      <c r="H34" s="84"/>
      <c r="I34" s="85"/>
      <c r="J34" s="230"/>
      <c r="K34" s="86"/>
      <c r="L34" s="87"/>
    </row>
    <row r="35" spans="1:12" x14ac:dyDescent="0.3">
      <c r="A35" s="83"/>
      <c r="B35" s="83"/>
      <c r="C35" s="83"/>
      <c r="D35" s="83"/>
      <c r="E35" s="83"/>
      <c r="F35" s="83"/>
      <c r="G35" s="83"/>
      <c r="H35" s="84"/>
      <c r="I35" s="85"/>
      <c r="J35" s="230"/>
      <c r="K35" s="86"/>
      <c r="L35" s="87"/>
    </row>
    <row r="36" spans="1:12" x14ac:dyDescent="0.3">
      <c r="A36" s="83"/>
      <c r="B36" s="83"/>
      <c r="C36" s="83"/>
      <c r="D36" s="83"/>
      <c r="E36" s="83"/>
      <c r="F36" s="83"/>
      <c r="G36" s="83"/>
      <c r="H36" s="84"/>
      <c r="I36" s="85"/>
      <c r="J36" s="230"/>
      <c r="K36" s="86"/>
      <c r="L36" s="87"/>
    </row>
    <row r="37" spans="1:12" x14ac:dyDescent="0.3">
      <c r="A37" s="83"/>
      <c r="B37" s="83"/>
      <c r="C37" s="83"/>
      <c r="D37" s="83"/>
      <c r="E37" s="83"/>
      <c r="F37" s="83"/>
      <c r="G37" s="83"/>
      <c r="H37" s="84"/>
      <c r="I37" s="85"/>
      <c r="J37" s="230"/>
      <c r="K37" s="86"/>
      <c r="L37" s="87"/>
    </row>
    <row r="38" spans="1:12" x14ac:dyDescent="0.3">
      <c r="A38" s="83"/>
      <c r="B38" s="83"/>
      <c r="C38" s="83"/>
      <c r="D38" s="83"/>
      <c r="E38" s="83"/>
      <c r="F38" s="83"/>
      <c r="G38" s="83"/>
      <c r="H38" s="84"/>
      <c r="I38" s="85"/>
      <c r="J38" s="230"/>
      <c r="K38" s="86"/>
      <c r="L38" s="87"/>
    </row>
    <row r="39" spans="1:12" x14ac:dyDescent="0.3">
      <c r="A39" s="83"/>
      <c r="B39" s="83"/>
      <c r="C39" s="83"/>
      <c r="D39" s="83"/>
      <c r="E39" s="83"/>
      <c r="F39" s="83"/>
      <c r="G39" s="83"/>
      <c r="H39" s="84"/>
      <c r="I39" s="85"/>
      <c r="J39" s="230"/>
      <c r="K39" s="86"/>
      <c r="L39" s="87"/>
    </row>
    <row r="40" spans="1:12" x14ac:dyDescent="0.3">
      <c r="H40" s="88"/>
      <c r="I40" s="89"/>
    </row>
  </sheetData>
  <mergeCells count="1">
    <mergeCell ref="A1:L1"/>
  </mergeCells>
  <pageMargins left="0.7" right="0.7" top="0.75" bottom="0.75" header="0.3" footer="0.3"/>
  <pageSetup scale="77"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9E029-3FB6-45D9-8021-290F6CC61164}">
  <sheetPr>
    <pageSetUpPr fitToPage="1"/>
  </sheetPr>
  <dimension ref="A1:AB93"/>
  <sheetViews>
    <sheetView workbookViewId="0">
      <selection activeCell="M15" sqref="M15"/>
    </sheetView>
  </sheetViews>
  <sheetFormatPr defaultColWidth="9" defaultRowHeight="17.399999999999999" x14ac:dyDescent="0.3"/>
  <cols>
    <col min="1" max="1" width="2.5" style="99" customWidth="1"/>
    <col min="2" max="2" width="1.19921875" style="105" customWidth="1"/>
    <col min="3" max="3" width="31.3984375" style="105" customWidth="1"/>
    <col min="4" max="4" width="1.19921875" style="105" customWidth="1"/>
    <col min="5" max="5" width="19.8984375" style="105" customWidth="1"/>
    <col min="6" max="6" width="1.19921875" style="105" customWidth="1"/>
    <col min="7" max="7" width="12.5" style="194" customWidth="1"/>
    <col min="8" max="8" width="1.19921875" style="194" customWidth="1"/>
    <col min="9" max="9" width="16.5" style="194" customWidth="1"/>
    <col min="10" max="10" width="1.19921875" style="194" customWidth="1"/>
    <col min="11" max="11" width="12.5" style="194" customWidth="1"/>
    <col min="12" max="12" width="1.19921875" style="105" customWidth="1"/>
    <col min="13" max="14" width="17.5" style="105" customWidth="1"/>
    <col min="15" max="15" width="1.8984375" style="105" customWidth="1"/>
    <col min="16" max="16" width="1.8984375" style="99" customWidth="1"/>
    <col min="17" max="17" width="12.19921875" style="99" bestFit="1" customWidth="1"/>
    <col min="18" max="18" width="22" style="99" customWidth="1"/>
    <col min="19" max="28" width="9" style="99"/>
    <col min="29" max="16384" width="9" style="105"/>
  </cols>
  <sheetData>
    <row r="1" spans="2:20" s="99" customFormat="1" ht="15" customHeight="1" thickBot="1" x14ac:dyDescent="0.35">
      <c r="G1" s="100"/>
      <c r="H1" s="100"/>
      <c r="I1" s="100"/>
      <c r="J1" s="100"/>
      <c r="K1" s="100"/>
    </row>
    <row r="2" spans="2:20" ht="7.5" customHeight="1" x14ac:dyDescent="0.3">
      <c r="B2" s="101"/>
      <c r="C2" s="102"/>
      <c r="D2" s="102"/>
      <c r="E2" s="102"/>
      <c r="F2" s="102"/>
      <c r="G2" s="103"/>
      <c r="H2" s="103"/>
      <c r="I2" s="103"/>
      <c r="J2" s="103"/>
      <c r="K2" s="103"/>
      <c r="L2" s="102"/>
      <c r="M2" s="102"/>
      <c r="N2" s="102"/>
      <c r="O2" s="104"/>
      <c r="Q2" s="105"/>
      <c r="R2" s="106"/>
      <c r="S2" s="106"/>
      <c r="T2" s="106"/>
    </row>
    <row r="3" spans="2:20" ht="30" customHeight="1" thickBot="1" x14ac:dyDescent="0.35">
      <c r="B3" s="107"/>
      <c r="C3" s="289" t="s">
        <v>123</v>
      </c>
      <c r="D3" s="289"/>
      <c r="E3" s="289"/>
      <c r="F3" s="289"/>
      <c r="G3" s="289"/>
      <c r="H3" s="289"/>
      <c r="I3" s="289"/>
      <c r="J3" s="289"/>
      <c r="K3" s="289"/>
      <c r="L3" s="108"/>
      <c r="M3" s="109" t="s">
        <v>50</v>
      </c>
      <c r="N3" s="110">
        <v>2019</v>
      </c>
      <c r="O3" s="111"/>
      <c r="Q3" s="290" t="s">
        <v>53</v>
      </c>
      <c r="R3" s="290"/>
      <c r="S3" s="290"/>
      <c r="T3" s="290"/>
    </row>
    <row r="4" spans="2:20" ht="7.5" customHeight="1" x14ac:dyDescent="0.3">
      <c r="B4" s="107"/>
      <c r="C4" s="260"/>
      <c r="D4" s="260"/>
      <c r="E4" s="260"/>
      <c r="F4" s="260"/>
      <c r="G4" s="260"/>
      <c r="H4" s="260"/>
      <c r="I4" s="260"/>
      <c r="J4" s="260"/>
      <c r="K4" s="260"/>
      <c r="L4" s="108"/>
      <c r="M4" s="109"/>
      <c r="N4" s="113"/>
      <c r="O4" s="111"/>
      <c r="Q4" s="291" t="s">
        <v>125</v>
      </c>
      <c r="R4" s="292"/>
      <c r="S4" s="292"/>
      <c r="T4" s="293"/>
    </row>
    <row r="5" spans="2:20" ht="30" customHeight="1" x14ac:dyDescent="0.3">
      <c r="B5" s="114"/>
      <c r="C5" s="300" t="s">
        <v>136</v>
      </c>
      <c r="D5" s="301"/>
      <c r="E5" s="301"/>
      <c r="F5" s="301"/>
      <c r="G5" s="301"/>
      <c r="H5" s="301"/>
      <c r="I5" s="301"/>
      <c r="J5" s="301"/>
      <c r="K5" s="302"/>
      <c r="L5" s="108"/>
      <c r="M5" s="109" t="s">
        <v>110</v>
      </c>
      <c r="N5" s="110">
        <v>24</v>
      </c>
      <c r="O5" s="115"/>
      <c r="P5" s="116"/>
      <c r="Q5" s="294"/>
      <c r="R5" s="295"/>
      <c r="S5" s="295"/>
      <c r="T5" s="296"/>
    </row>
    <row r="6" spans="2:20" ht="7.5" customHeight="1" x14ac:dyDescent="0.3">
      <c r="B6" s="117"/>
      <c r="C6" s="303"/>
      <c r="D6" s="303"/>
      <c r="E6" s="304"/>
      <c r="F6" s="304"/>
      <c r="G6" s="304"/>
      <c r="H6" s="261"/>
      <c r="I6" s="119"/>
      <c r="J6" s="119"/>
      <c r="K6" s="119"/>
      <c r="L6" s="261"/>
      <c r="M6" s="261"/>
      <c r="N6" s="261"/>
      <c r="O6" s="120"/>
      <c r="Q6" s="294"/>
      <c r="R6" s="295"/>
      <c r="S6" s="295"/>
      <c r="T6" s="296"/>
    </row>
    <row r="7" spans="2:20" ht="22.5" customHeight="1" x14ac:dyDescent="0.3">
      <c r="B7" s="107"/>
      <c r="C7" s="121"/>
      <c r="D7" s="121"/>
      <c r="E7" s="122"/>
      <c r="F7" s="122"/>
      <c r="G7" s="123"/>
      <c r="H7" s="123"/>
      <c r="I7" s="121" t="s">
        <v>9</v>
      </c>
      <c r="J7" s="121"/>
      <c r="K7" s="124"/>
      <c r="L7" s="124"/>
      <c r="M7" s="125"/>
      <c r="N7" s="240" t="s">
        <v>120</v>
      </c>
      <c r="O7" s="127"/>
      <c r="P7" s="128"/>
      <c r="Q7" s="294"/>
      <c r="R7" s="295"/>
      <c r="S7" s="295"/>
      <c r="T7" s="296"/>
    </row>
    <row r="8" spans="2:20" ht="22.5" customHeight="1" thickBot="1" x14ac:dyDescent="0.35">
      <c r="B8" s="107"/>
      <c r="C8" s="129"/>
      <c r="D8" s="129"/>
      <c r="E8" s="130" t="s">
        <v>8</v>
      </c>
      <c r="F8" s="130"/>
      <c r="G8" s="130"/>
      <c r="H8" s="130"/>
      <c r="I8" s="130" t="s">
        <v>7</v>
      </c>
      <c r="J8" s="130"/>
      <c r="K8" s="130" t="s">
        <v>2</v>
      </c>
      <c r="L8" s="130"/>
      <c r="M8" s="131" t="s">
        <v>11</v>
      </c>
      <c r="N8" s="131" t="s">
        <v>1</v>
      </c>
      <c r="O8" s="132"/>
      <c r="P8" s="133"/>
      <c r="Q8" s="297"/>
      <c r="R8" s="298"/>
      <c r="S8" s="298"/>
      <c r="T8" s="299"/>
    </row>
    <row r="9" spans="2:20" ht="22.5" customHeight="1" thickBot="1" x14ac:dyDescent="0.35">
      <c r="B9" s="107"/>
      <c r="C9" s="134"/>
      <c r="D9" s="134"/>
      <c r="E9" s="135" t="s">
        <v>6</v>
      </c>
      <c r="F9" s="135"/>
      <c r="G9" s="136" t="s">
        <v>0</v>
      </c>
      <c r="H9" s="136"/>
      <c r="I9" s="136" t="s">
        <v>10</v>
      </c>
      <c r="J9" s="136"/>
      <c r="K9" s="136" t="s">
        <v>5</v>
      </c>
      <c r="L9" s="136"/>
      <c r="M9" s="137" t="s">
        <v>12</v>
      </c>
      <c r="N9" s="137" t="s">
        <v>4</v>
      </c>
      <c r="O9" s="132"/>
      <c r="P9" s="133"/>
      <c r="Q9" s="138"/>
      <c r="R9" s="138"/>
    </row>
    <row r="10" spans="2:20" ht="22.5" customHeight="1" thickBot="1" x14ac:dyDescent="0.35">
      <c r="B10" s="107"/>
      <c r="C10" s="139" t="s">
        <v>20</v>
      </c>
      <c r="D10" s="140"/>
      <c r="E10" s="141"/>
      <c r="F10" s="141"/>
      <c r="G10" s="142"/>
      <c r="H10" s="142"/>
      <c r="I10" s="142"/>
      <c r="J10" s="142"/>
      <c r="K10" s="142"/>
      <c r="L10" s="141"/>
      <c r="M10" s="143"/>
      <c r="N10" s="143"/>
      <c r="O10" s="111"/>
      <c r="Q10" s="305"/>
      <c r="R10" s="305"/>
    </row>
    <row r="11" spans="2:20" ht="22.5" customHeight="1" x14ac:dyDescent="0.3">
      <c r="B11" s="107"/>
      <c r="C11" s="1" t="s">
        <v>98</v>
      </c>
      <c r="D11" s="141"/>
      <c r="E11" s="2">
        <v>575</v>
      </c>
      <c r="F11" s="144"/>
      <c r="G11" s="3" t="s">
        <v>13</v>
      </c>
      <c r="H11" s="142"/>
      <c r="I11" s="3">
        <f>N5</f>
        <v>24</v>
      </c>
      <c r="J11" s="142"/>
      <c r="K11" s="98">
        <v>-1.7</v>
      </c>
      <c r="L11" s="145"/>
      <c r="M11" s="146">
        <f>E11*I11*K11</f>
        <v>-23460</v>
      </c>
      <c r="N11" s="147">
        <f>M11/I11</f>
        <v>-977.5</v>
      </c>
      <c r="O11" s="148"/>
      <c r="P11" s="149"/>
      <c r="Q11" s="309" t="s">
        <v>47</v>
      </c>
      <c r="R11" s="310"/>
    </row>
    <row r="12" spans="2:20" ht="22.5" customHeight="1" x14ac:dyDescent="0.3">
      <c r="B12" s="107"/>
      <c r="C12" s="5" t="s">
        <v>34</v>
      </c>
      <c r="D12" s="141"/>
      <c r="E12" s="2">
        <v>800</v>
      </c>
      <c r="F12" s="144"/>
      <c r="G12" s="3" t="s">
        <v>13</v>
      </c>
      <c r="H12" s="142"/>
      <c r="I12" s="3">
        <f>N5</f>
        <v>24</v>
      </c>
      <c r="J12" s="142"/>
      <c r="K12" s="98">
        <v>1.5</v>
      </c>
      <c r="L12" s="145"/>
      <c r="M12" s="146">
        <f>E12*I12*K12</f>
        <v>28800</v>
      </c>
      <c r="N12" s="147">
        <f>M12/24</f>
        <v>1200</v>
      </c>
      <c r="O12" s="148"/>
      <c r="P12" s="149"/>
      <c r="Q12" s="96">
        <v>1150</v>
      </c>
      <c r="R12" s="58" t="s">
        <v>94</v>
      </c>
    </row>
    <row r="13" spans="2:20" ht="22.5" customHeight="1" x14ac:dyDescent="0.3">
      <c r="B13" s="107"/>
      <c r="C13" s="5"/>
      <c r="D13" s="141"/>
      <c r="E13" s="2"/>
      <c r="F13" s="144"/>
      <c r="G13" s="3"/>
      <c r="H13" s="142"/>
      <c r="I13" s="3"/>
      <c r="J13" s="142"/>
      <c r="K13" s="4"/>
      <c r="L13" s="145"/>
      <c r="M13" s="146">
        <f>E13*I13*K13</f>
        <v>0</v>
      </c>
      <c r="N13" s="147">
        <f>M13/$N$5</f>
        <v>0</v>
      </c>
      <c r="O13" s="148"/>
      <c r="P13" s="149"/>
      <c r="Q13" s="262">
        <v>0.4</v>
      </c>
      <c r="R13" s="58" t="s">
        <v>121</v>
      </c>
    </row>
    <row r="14" spans="2:20" ht="22.5" customHeight="1" thickBot="1" x14ac:dyDescent="0.35">
      <c r="B14" s="107"/>
      <c r="C14" s="150" t="s">
        <v>19</v>
      </c>
      <c r="D14" s="150"/>
      <c r="E14" s="151"/>
      <c r="F14" s="151"/>
      <c r="G14" s="152"/>
      <c r="H14" s="152"/>
      <c r="I14" s="152"/>
      <c r="J14" s="152"/>
      <c r="K14" s="152"/>
      <c r="L14" s="151"/>
      <c r="M14" s="153">
        <f>SUM(M11:M13)</f>
        <v>5340</v>
      </c>
      <c r="N14" s="153">
        <f>SUM(N11:N13)</f>
        <v>222.5</v>
      </c>
      <c r="O14" s="155"/>
      <c r="P14" s="156"/>
      <c r="Q14" s="56"/>
      <c r="R14" s="59" t="s">
        <v>122</v>
      </c>
    </row>
    <row r="15" spans="2:20" ht="22.5" customHeight="1" thickBot="1" x14ac:dyDescent="0.35">
      <c r="B15" s="107"/>
      <c r="C15" s="141"/>
      <c r="D15" s="141"/>
      <c r="E15" s="141"/>
      <c r="F15" s="141"/>
      <c r="G15" s="142"/>
      <c r="H15" s="142"/>
      <c r="I15" s="142"/>
      <c r="J15" s="142"/>
      <c r="K15" s="142"/>
      <c r="L15" s="141"/>
      <c r="M15" s="157"/>
      <c r="N15" s="158"/>
      <c r="O15" s="148"/>
      <c r="P15" s="149"/>
      <c r="Q15" s="56"/>
      <c r="R15" s="59"/>
    </row>
    <row r="16" spans="2:20" ht="22.5" customHeight="1" thickBot="1" x14ac:dyDescent="0.35">
      <c r="B16" s="107"/>
      <c r="C16" s="150" t="s">
        <v>21</v>
      </c>
      <c r="D16" s="150"/>
      <c r="E16" s="151"/>
      <c r="F16" s="141"/>
      <c r="G16" s="142"/>
      <c r="H16" s="142"/>
      <c r="I16" s="142"/>
      <c r="J16" s="142"/>
      <c r="K16" s="142"/>
      <c r="L16" s="141"/>
      <c r="M16" s="159"/>
      <c r="N16" s="158"/>
      <c r="O16" s="148"/>
      <c r="P16" s="149"/>
    </row>
    <row r="17" spans="2:18" ht="22.5" customHeight="1" x14ac:dyDescent="0.3">
      <c r="B17" s="107"/>
      <c r="C17" s="306" t="s">
        <v>139</v>
      </c>
      <c r="D17" s="306"/>
      <c r="E17" s="306"/>
      <c r="F17" s="141"/>
      <c r="G17" s="3" t="s">
        <v>14</v>
      </c>
      <c r="H17" s="142"/>
      <c r="I17" s="6">
        <f>((15*30*7)/2000)*N5</f>
        <v>37.799999999999997</v>
      </c>
      <c r="J17" s="142"/>
      <c r="K17" s="7">
        <v>160</v>
      </c>
      <c r="L17" s="144"/>
      <c r="M17" s="146">
        <f>I17*K17</f>
        <v>6048</v>
      </c>
      <c r="N17" s="147">
        <f>M17/$N$5</f>
        <v>252</v>
      </c>
      <c r="O17" s="148"/>
      <c r="P17" s="149"/>
    </row>
    <row r="18" spans="2:18" ht="22.5" customHeight="1" x14ac:dyDescent="0.3">
      <c r="B18" s="107"/>
      <c r="C18" s="287" t="s">
        <v>138</v>
      </c>
      <c r="D18" s="287"/>
      <c r="E18" s="287"/>
      <c r="F18" s="141"/>
      <c r="G18" s="3" t="s">
        <v>15</v>
      </c>
      <c r="H18" s="142"/>
      <c r="I18" s="6">
        <f>4*$N$5</f>
        <v>96</v>
      </c>
      <c r="J18" s="142"/>
      <c r="K18" s="7">
        <v>25</v>
      </c>
      <c r="L18" s="144"/>
      <c r="M18" s="146">
        <f t="shared" ref="M18:M24" si="0">I18*K18</f>
        <v>2400</v>
      </c>
      <c r="N18" s="147">
        <f t="shared" ref="N18:N29" si="1">M18/$N$5</f>
        <v>100</v>
      </c>
      <c r="O18" s="148"/>
      <c r="P18" s="149"/>
      <c r="Q18" s="307"/>
      <c r="R18" s="307"/>
    </row>
    <row r="19" spans="2:18" ht="22.5" customHeight="1" x14ac:dyDescent="0.3">
      <c r="B19" s="107"/>
      <c r="C19" s="287" t="s">
        <v>28</v>
      </c>
      <c r="D19" s="287"/>
      <c r="E19" s="287"/>
      <c r="F19" s="141"/>
      <c r="G19" s="3" t="s">
        <v>16</v>
      </c>
      <c r="H19" s="142"/>
      <c r="I19" s="6">
        <f>N5</f>
        <v>24</v>
      </c>
      <c r="J19" s="142"/>
      <c r="K19" s="7">
        <v>25</v>
      </c>
      <c r="L19" s="144"/>
      <c r="M19" s="146">
        <f t="shared" si="0"/>
        <v>600</v>
      </c>
      <c r="N19" s="147">
        <f t="shared" si="1"/>
        <v>25</v>
      </c>
      <c r="O19" s="148"/>
      <c r="P19" s="149"/>
    </row>
    <row r="20" spans="2:18" ht="22.5" customHeight="1" x14ac:dyDescent="0.3">
      <c r="B20" s="107"/>
      <c r="C20" s="287" t="s">
        <v>93</v>
      </c>
      <c r="D20" s="287"/>
      <c r="E20" s="287"/>
      <c r="F20" s="141"/>
      <c r="G20" s="3" t="s">
        <v>17</v>
      </c>
      <c r="H20" s="142"/>
      <c r="I20" s="6">
        <v>1</v>
      </c>
      <c r="J20" s="142"/>
      <c r="K20" s="7">
        <f>5*$N$5</f>
        <v>120</v>
      </c>
      <c r="L20" s="144"/>
      <c r="M20" s="146">
        <f t="shared" si="0"/>
        <v>120</v>
      </c>
      <c r="N20" s="147">
        <f t="shared" si="1"/>
        <v>5</v>
      </c>
      <c r="O20" s="148"/>
      <c r="P20" s="149"/>
    </row>
    <row r="21" spans="2:18" ht="22.5" customHeight="1" x14ac:dyDescent="0.3">
      <c r="B21" s="107"/>
      <c r="C21" s="287" t="s">
        <v>133</v>
      </c>
      <c r="D21" s="287"/>
      <c r="E21" s="287"/>
      <c r="F21" s="141"/>
      <c r="G21" s="3" t="s">
        <v>16</v>
      </c>
      <c r="H21" s="142"/>
      <c r="I21" s="6">
        <v>24</v>
      </c>
      <c r="J21" s="142"/>
      <c r="K21" s="7">
        <v>8</v>
      </c>
      <c r="L21" s="144"/>
      <c r="M21" s="146">
        <f t="shared" si="0"/>
        <v>192</v>
      </c>
      <c r="N21" s="147">
        <f t="shared" si="1"/>
        <v>8</v>
      </c>
      <c r="O21" s="148"/>
      <c r="P21" s="149"/>
    </row>
    <row r="22" spans="2:18" ht="22.5" customHeight="1" x14ac:dyDescent="0.3">
      <c r="B22" s="107"/>
      <c r="C22" s="287" t="s">
        <v>55</v>
      </c>
      <c r="D22" s="287"/>
      <c r="E22" s="287"/>
      <c r="F22" s="141"/>
      <c r="G22" s="3" t="s">
        <v>16</v>
      </c>
      <c r="H22" s="142"/>
      <c r="I22" s="6">
        <f>$N$5</f>
        <v>24</v>
      </c>
      <c r="J22" s="142"/>
      <c r="K22" s="7">
        <v>10</v>
      </c>
      <c r="L22" s="144"/>
      <c r="M22" s="146">
        <f t="shared" si="0"/>
        <v>240</v>
      </c>
      <c r="N22" s="147">
        <f t="shared" si="1"/>
        <v>10</v>
      </c>
      <c r="O22" s="148"/>
      <c r="P22" s="149"/>
    </row>
    <row r="23" spans="2:18" ht="22.5" customHeight="1" x14ac:dyDescent="0.3">
      <c r="B23" s="107"/>
      <c r="C23" s="287" t="s">
        <v>30</v>
      </c>
      <c r="D23" s="287"/>
      <c r="E23" s="287"/>
      <c r="F23" s="141"/>
      <c r="G23" s="3" t="s">
        <v>18</v>
      </c>
      <c r="H23" s="142"/>
      <c r="I23" s="6">
        <v>0</v>
      </c>
      <c r="J23" s="142"/>
      <c r="K23" s="7">
        <v>13.82</v>
      </c>
      <c r="L23" s="144"/>
      <c r="M23" s="146">
        <f t="shared" si="0"/>
        <v>0</v>
      </c>
      <c r="N23" s="147">
        <f t="shared" si="1"/>
        <v>0</v>
      </c>
      <c r="O23" s="148"/>
      <c r="P23" s="149"/>
    </row>
    <row r="24" spans="2:18" ht="22.5" customHeight="1" x14ac:dyDescent="0.3">
      <c r="B24" s="107"/>
      <c r="C24" s="287" t="s">
        <v>134</v>
      </c>
      <c r="D24" s="287"/>
      <c r="E24" s="287"/>
      <c r="F24" s="141"/>
      <c r="G24" s="3" t="s">
        <v>18</v>
      </c>
      <c r="H24" s="142"/>
      <c r="I24" s="6">
        <v>365</v>
      </c>
      <c r="J24" s="142"/>
      <c r="K24" s="7">
        <v>25</v>
      </c>
      <c r="L24" s="144"/>
      <c r="M24" s="146">
        <f t="shared" si="0"/>
        <v>9125</v>
      </c>
      <c r="N24" s="147">
        <f t="shared" si="1"/>
        <v>380.20833333333331</v>
      </c>
      <c r="O24" s="148"/>
      <c r="P24" s="149"/>
    </row>
    <row r="25" spans="2:18" ht="22.5" customHeight="1" x14ac:dyDescent="0.3">
      <c r="B25" s="107"/>
      <c r="C25" s="282" t="s">
        <v>42</v>
      </c>
      <c r="D25" s="282"/>
      <c r="E25" s="282"/>
      <c r="F25" s="141"/>
      <c r="G25" s="142"/>
      <c r="H25" s="142"/>
      <c r="I25" s="161"/>
      <c r="J25" s="142"/>
      <c r="K25" s="10">
        <v>1200</v>
      </c>
      <c r="L25" s="144"/>
      <c r="M25" s="146">
        <f>K25</f>
        <v>1200</v>
      </c>
      <c r="N25" s="147">
        <f t="shared" si="1"/>
        <v>50</v>
      </c>
      <c r="O25" s="148"/>
      <c r="P25" s="149"/>
    </row>
    <row r="26" spans="2:18" ht="22.5" customHeight="1" x14ac:dyDescent="0.3">
      <c r="B26" s="107"/>
      <c r="C26" s="282" t="s">
        <v>43</v>
      </c>
      <c r="D26" s="282"/>
      <c r="E26" s="282"/>
      <c r="F26" s="141"/>
      <c r="G26" s="142"/>
      <c r="H26" s="142"/>
      <c r="I26" s="161"/>
      <c r="J26" s="142"/>
      <c r="K26" s="7">
        <v>500</v>
      </c>
      <c r="L26" s="144"/>
      <c r="M26" s="146">
        <f>K26</f>
        <v>500</v>
      </c>
      <c r="N26" s="147">
        <f t="shared" si="1"/>
        <v>20.833333333333332</v>
      </c>
      <c r="O26" s="148"/>
      <c r="P26" s="149"/>
    </row>
    <row r="27" spans="2:18" ht="22.5" customHeight="1" x14ac:dyDescent="0.3">
      <c r="B27" s="107"/>
      <c r="C27" s="282" t="s">
        <v>44</v>
      </c>
      <c r="D27" s="282"/>
      <c r="E27" s="282"/>
      <c r="F27" s="141"/>
      <c r="G27" s="142"/>
      <c r="H27" s="142"/>
      <c r="I27" s="161"/>
      <c r="J27" s="142"/>
      <c r="K27" s="7">
        <v>200</v>
      </c>
      <c r="L27" s="144"/>
      <c r="M27" s="146">
        <f>K27</f>
        <v>200</v>
      </c>
      <c r="N27" s="147">
        <f t="shared" si="1"/>
        <v>8.3333333333333339</v>
      </c>
      <c r="O27" s="148"/>
      <c r="P27" s="149"/>
    </row>
    <row r="28" spans="2:18" ht="22.5" customHeight="1" x14ac:dyDescent="0.3">
      <c r="B28" s="107"/>
      <c r="C28" s="259" t="s">
        <v>49</v>
      </c>
      <c r="D28" s="259"/>
      <c r="E28" s="259"/>
      <c r="F28" s="141"/>
      <c r="G28" s="142"/>
      <c r="H28" s="142"/>
      <c r="I28" s="161"/>
      <c r="J28" s="142"/>
      <c r="K28" s="7">
        <v>1000</v>
      </c>
      <c r="L28" s="144"/>
      <c r="M28" s="146">
        <f>K28</f>
        <v>1000</v>
      </c>
      <c r="N28" s="147">
        <f t="shared" si="1"/>
        <v>41.666666666666664</v>
      </c>
      <c r="O28" s="148"/>
      <c r="P28" s="149"/>
    </row>
    <row r="29" spans="2:18" ht="22.5" customHeight="1" x14ac:dyDescent="0.3">
      <c r="B29" s="107"/>
      <c r="C29" s="282" t="s">
        <v>29</v>
      </c>
      <c r="D29" s="282"/>
      <c r="E29" s="282"/>
      <c r="F29" s="141"/>
      <c r="G29" s="142"/>
      <c r="H29" s="142"/>
      <c r="I29" s="11">
        <v>12000</v>
      </c>
      <c r="J29" s="163"/>
      <c r="K29" s="12">
        <v>5.7500000000000002E-2</v>
      </c>
      <c r="L29" s="164"/>
      <c r="M29" s="146">
        <f>I29*K29</f>
        <v>690</v>
      </c>
      <c r="N29" s="147">
        <f t="shared" si="1"/>
        <v>28.75</v>
      </c>
      <c r="O29" s="148"/>
      <c r="P29" s="149"/>
    </row>
    <row r="30" spans="2:18" ht="22.5" customHeight="1" thickBot="1" x14ac:dyDescent="0.35">
      <c r="B30" s="107"/>
      <c r="C30" s="150" t="s">
        <v>22</v>
      </c>
      <c r="D30" s="150"/>
      <c r="E30" s="151"/>
      <c r="F30" s="151"/>
      <c r="G30" s="152"/>
      <c r="H30" s="152"/>
      <c r="I30" s="152"/>
      <c r="J30" s="152"/>
      <c r="K30" s="165"/>
      <c r="L30" s="166"/>
      <c r="M30" s="167">
        <f>SUM(M17:M29)</f>
        <v>22315</v>
      </c>
      <c r="N30" s="168">
        <f>M30/$N$5</f>
        <v>929.79166666666663</v>
      </c>
      <c r="O30" s="169"/>
      <c r="P30" s="170"/>
      <c r="Q30" s="236"/>
    </row>
    <row r="31" spans="2:18" ht="22.5" customHeight="1" x14ac:dyDescent="0.3">
      <c r="B31" s="107"/>
      <c r="C31" s="102"/>
      <c r="D31" s="102"/>
      <c r="E31" s="102"/>
      <c r="F31" s="102"/>
      <c r="G31" s="103"/>
      <c r="H31" s="103"/>
      <c r="I31" s="103"/>
      <c r="J31" s="103"/>
      <c r="K31" s="171"/>
      <c r="L31" s="172"/>
      <c r="M31" s="173"/>
      <c r="N31" s="174"/>
      <c r="O31" s="148"/>
      <c r="P31" s="149"/>
    </row>
    <row r="32" spans="2:18" ht="22.5" customHeight="1" thickBot="1" x14ac:dyDescent="0.35">
      <c r="B32" s="107"/>
      <c r="C32" s="150" t="s">
        <v>23</v>
      </c>
      <c r="D32" s="150"/>
      <c r="E32" s="151"/>
      <c r="F32" s="151"/>
      <c r="G32" s="152"/>
      <c r="H32" s="152"/>
      <c r="I32" s="152"/>
      <c r="J32" s="152"/>
      <c r="K32" s="165"/>
      <c r="L32" s="166"/>
      <c r="M32" s="175">
        <f>M14-M30</f>
        <v>-16975</v>
      </c>
      <c r="N32" s="175">
        <f>N14-N30</f>
        <v>-707.29166666666663</v>
      </c>
      <c r="O32" s="169"/>
      <c r="P32" s="170"/>
      <c r="Q32" s="241"/>
    </row>
    <row r="33" spans="2:17" ht="7.5" customHeight="1" x14ac:dyDescent="0.3">
      <c r="B33" s="107"/>
      <c r="C33" s="108"/>
      <c r="D33" s="108"/>
      <c r="E33" s="141"/>
      <c r="F33" s="141"/>
      <c r="G33" s="142"/>
      <c r="H33" s="142"/>
      <c r="I33" s="142"/>
      <c r="J33" s="142"/>
      <c r="K33" s="176"/>
      <c r="L33" s="144"/>
      <c r="M33" s="177"/>
      <c r="N33" s="178"/>
      <c r="O33" s="169"/>
      <c r="P33" s="170"/>
    </row>
    <row r="34" spans="2:17" s="99" customFormat="1" ht="22.5" customHeight="1" x14ac:dyDescent="0.3">
      <c r="B34" s="179"/>
      <c r="C34" s="180"/>
      <c r="D34" s="180"/>
      <c r="G34" s="100"/>
      <c r="H34" s="100"/>
      <c r="I34" s="100"/>
      <c r="J34" s="100"/>
      <c r="K34" s="181"/>
      <c r="L34" s="182"/>
      <c r="M34" s="183"/>
      <c r="N34" s="184"/>
      <c r="O34" s="185"/>
      <c r="P34" s="170"/>
    </row>
    <row r="35" spans="2:17" ht="7.5" customHeight="1" x14ac:dyDescent="0.3">
      <c r="B35" s="107"/>
      <c r="C35" s="141"/>
      <c r="D35" s="141"/>
      <c r="E35" s="141"/>
      <c r="F35" s="141"/>
      <c r="G35" s="142"/>
      <c r="H35" s="142"/>
      <c r="I35" s="142"/>
      <c r="J35" s="142"/>
      <c r="K35" s="176"/>
      <c r="L35" s="144"/>
      <c r="M35" s="186"/>
      <c r="N35" s="187"/>
      <c r="O35" s="148"/>
      <c r="P35" s="149"/>
    </row>
    <row r="36" spans="2:17" ht="22.5" customHeight="1" thickBot="1" x14ac:dyDescent="0.35">
      <c r="B36" s="107"/>
      <c r="C36" s="150" t="s">
        <v>24</v>
      </c>
      <c r="D36" s="150"/>
      <c r="E36" s="188"/>
      <c r="F36" s="141"/>
      <c r="G36" s="142"/>
      <c r="H36" s="142"/>
      <c r="I36" s="142"/>
      <c r="J36" s="142"/>
      <c r="K36" s="176"/>
      <c r="L36" s="144"/>
      <c r="M36" s="186"/>
      <c r="N36" s="187"/>
      <c r="O36" s="148"/>
      <c r="P36" s="149"/>
    </row>
    <row r="37" spans="2:17" ht="22.5" customHeight="1" x14ac:dyDescent="0.3">
      <c r="B37" s="107"/>
      <c r="C37" s="282" t="s">
        <v>32</v>
      </c>
      <c r="D37" s="282"/>
      <c r="E37" s="282"/>
      <c r="F37" s="141"/>
      <c r="G37" s="142"/>
      <c r="H37" s="142"/>
      <c r="I37" s="161"/>
      <c r="J37" s="163"/>
      <c r="K37" s="13">
        <v>0</v>
      </c>
      <c r="L37" s="144"/>
      <c r="M37" s="189">
        <f>K37</f>
        <v>0</v>
      </c>
      <c r="N37" s="147">
        <f>M37/$N$5</f>
        <v>0</v>
      </c>
      <c r="O37" s="148"/>
      <c r="P37" s="149"/>
    </row>
    <row r="38" spans="2:17" ht="22.5" customHeight="1" x14ac:dyDescent="0.3">
      <c r="B38" s="107"/>
      <c r="C38" s="282" t="s">
        <v>33</v>
      </c>
      <c r="D38" s="282"/>
      <c r="E38" s="282"/>
      <c r="F38" s="141"/>
      <c r="G38" s="142"/>
      <c r="H38" s="142"/>
      <c r="I38" s="161"/>
      <c r="J38" s="163"/>
      <c r="K38" s="13">
        <v>250</v>
      </c>
      <c r="L38" s="144"/>
      <c r="M38" s="189">
        <f>K38</f>
        <v>250</v>
      </c>
      <c r="N38" s="147">
        <f>M38/$N$5</f>
        <v>10.416666666666666</v>
      </c>
      <c r="O38" s="148"/>
      <c r="P38" s="149"/>
    </row>
    <row r="39" spans="2:17" ht="22.5" customHeight="1" thickBot="1" x14ac:dyDescent="0.35">
      <c r="B39" s="107"/>
      <c r="C39" s="150" t="s">
        <v>25</v>
      </c>
      <c r="D39" s="150"/>
      <c r="E39" s="151"/>
      <c r="F39" s="151"/>
      <c r="G39" s="152"/>
      <c r="H39" s="152"/>
      <c r="I39" s="152"/>
      <c r="J39" s="152"/>
      <c r="K39" s="152"/>
      <c r="L39" s="151"/>
      <c r="M39" s="167">
        <f>SUM(M37:M38)</f>
        <v>250</v>
      </c>
      <c r="N39" s="168">
        <f>M39/$N$5</f>
        <v>10.416666666666666</v>
      </c>
      <c r="O39" s="169"/>
      <c r="P39" s="170"/>
      <c r="Q39" s="241"/>
    </row>
    <row r="40" spans="2:17" ht="22.5" customHeight="1" x14ac:dyDescent="0.3">
      <c r="B40" s="107"/>
      <c r="C40" s="141"/>
      <c r="D40" s="141"/>
      <c r="E40" s="141"/>
      <c r="F40" s="141"/>
      <c r="G40" s="142"/>
      <c r="H40" s="142"/>
      <c r="I40" s="142"/>
      <c r="J40" s="142"/>
      <c r="K40" s="142"/>
      <c r="L40" s="141"/>
      <c r="M40" s="186"/>
      <c r="N40" s="190"/>
      <c r="O40" s="148"/>
      <c r="P40" s="149"/>
    </row>
    <row r="41" spans="2:17" ht="22.5" customHeight="1" thickBot="1" x14ac:dyDescent="0.35">
      <c r="B41" s="107"/>
      <c r="C41" s="150" t="s">
        <v>26</v>
      </c>
      <c r="D41" s="150"/>
      <c r="E41" s="151"/>
      <c r="F41" s="151"/>
      <c r="G41" s="152"/>
      <c r="H41" s="152"/>
      <c r="I41" s="152"/>
      <c r="J41" s="152"/>
      <c r="K41" s="152"/>
      <c r="L41" s="151"/>
      <c r="M41" s="175">
        <f>+M30+M39</f>
        <v>22565</v>
      </c>
      <c r="N41" s="175">
        <f>+N30+N39</f>
        <v>940.20833333333326</v>
      </c>
      <c r="O41" s="169"/>
      <c r="P41" s="170"/>
      <c r="Q41" s="241"/>
    </row>
    <row r="42" spans="2:17" ht="22.5" customHeight="1" x14ac:dyDescent="0.3">
      <c r="B42" s="107"/>
      <c r="C42" s="102"/>
      <c r="D42" s="102"/>
      <c r="E42" s="102"/>
      <c r="F42" s="102"/>
      <c r="G42" s="103"/>
      <c r="H42" s="103"/>
      <c r="I42" s="103"/>
      <c r="J42" s="103"/>
      <c r="K42" s="103"/>
      <c r="L42" s="102"/>
      <c r="M42" s="173"/>
      <c r="N42" s="174"/>
      <c r="O42" s="148"/>
      <c r="P42" s="149"/>
    </row>
    <row r="43" spans="2:17" ht="22.5" customHeight="1" thickBot="1" x14ac:dyDescent="0.35">
      <c r="B43" s="107"/>
      <c r="C43" s="150" t="s">
        <v>27</v>
      </c>
      <c r="D43" s="150"/>
      <c r="E43" s="151"/>
      <c r="F43" s="151"/>
      <c r="G43" s="152"/>
      <c r="H43" s="152"/>
      <c r="I43" s="152"/>
      <c r="J43" s="152"/>
      <c r="K43" s="152"/>
      <c r="L43" s="151"/>
      <c r="M43" s="175">
        <f>M14-M41</f>
        <v>-17225</v>
      </c>
      <c r="N43" s="175">
        <f>N14-N41</f>
        <v>-717.70833333333326</v>
      </c>
      <c r="O43" s="169"/>
      <c r="P43" s="170"/>
      <c r="Q43" s="241"/>
    </row>
    <row r="44" spans="2:17" ht="7.5" customHeight="1" thickBot="1" x14ac:dyDescent="0.35">
      <c r="B44" s="192"/>
      <c r="C44" s="151"/>
      <c r="D44" s="151"/>
      <c r="E44" s="151"/>
      <c r="F44" s="151"/>
      <c r="G44" s="152"/>
      <c r="H44" s="152"/>
      <c r="I44" s="152"/>
      <c r="J44" s="152"/>
      <c r="K44" s="152"/>
      <c r="L44" s="151"/>
      <c r="M44" s="151"/>
      <c r="N44" s="151"/>
      <c r="O44" s="193"/>
    </row>
    <row r="45" spans="2:17" s="99" customFormat="1" x14ac:dyDescent="0.3">
      <c r="G45" s="100"/>
      <c r="H45" s="100"/>
      <c r="I45" s="100"/>
      <c r="J45" s="100"/>
      <c r="K45" s="100"/>
    </row>
    <row r="46" spans="2:17" s="99" customFormat="1" x14ac:dyDescent="0.3">
      <c r="G46" s="100"/>
      <c r="H46" s="100"/>
      <c r="I46" s="100"/>
      <c r="J46" s="100"/>
      <c r="K46" s="100"/>
    </row>
    <row r="47" spans="2:17" s="99" customFormat="1" x14ac:dyDescent="0.3">
      <c r="G47" s="100"/>
      <c r="H47" s="100"/>
      <c r="I47" s="100"/>
      <c r="J47" s="100"/>
      <c r="K47" s="100"/>
    </row>
    <row r="48" spans="2:17" s="99" customFormat="1" x14ac:dyDescent="0.3">
      <c r="G48" s="100"/>
      <c r="H48" s="100"/>
      <c r="I48" s="100"/>
      <c r="J48" s="100"/>
      <c r="K48" s="100"/>
    </row>
    <row r="49" spans="7:11" s="99" customFormat="1" x14ac:dyDescent="0.3">
      <c r="G49" s="100"/>
      <c r="H49" s="100"/>
      <c r="I49" s="100"/>
      <c r="J49" s="100"/>
      <c r="K49" s="100"/>
    </row>
    <row r="50" spans="7:11" s="99" customFormat="1" x14ac:dyDescent="0.3">
      <c r="G50" s="100"/>
      <c r="H50" s="100"/>
      <c r="I50" s="100"/>
      <c r="J50" s="100"/>
      <c r="K50" s="100"/>
    </row>
    <row r="51" spans="7:11" s="99" customFormat="1" x14ac:dyDescent="0.3">
      <c r="G51" s="100"/>
      <c r="H51" s="100"/>
      <c r="I51" s="100"/>
      <c r="J51" s="100"/>
      <c r="K51" s="100"/>
    </row>
    <row r="52" spans="7:11" s="99" customFormat="1" x14ac:dyDescent="0.3">
      <c r="G52" s="100"/>
      <c r="H52" s="100"/>
      <c r="I52" s="100"/>
      <c r="J52" s="100"/>
      <c r="K52" s="100"/>
    </row>
    <row r="53" spans="7:11" s="99" customFormat="1" x14ac:dyDescent="0.3">
      <c r="G53" s="100"/>
      <c r="H53" s="100"/>
      <c r="I53" s="100"/>
      <c r="J53" s="100"/>
      <c r="K53" s="100"/>
    </row>
    <row r="54" spans="7:11" s="99" customFormat="1" x14ac:dyDescent="0.3">
      <c r="G54" s="100"/>
      <c r="H54" s="100"/>
      <c r="I54" s="100"/>
      <c r="J54" s="100"/>
      <c r="K54" s="100"/>
    </row>
    <row r="55" spans="7:11" s="99" customFormat="1" x14ac:dyDescent="0.3">
      <c r="G55" s="100"/>
      <c r="H55" s="100"/>
      <c r="I55" s="100"/>
      <c r="J55" s="100"/>
      <c r="K55" s="100"/>
    </row>
    <row r="56" spans="7:11" s="99" customFormat="1" x14ac:dyDescent="0.3">
      <c r="G56" s="100"/>
      <c r="H56" s="100"/>
      <c r="I56" s="100"/>
      <c r="J56" s="100"/>
      <c r="K56" s="100"/>
    </row>
    <row r="57" spans="7:11" s="99" customFormat="1" x14ac:dyDescent="0.3">
      <c r="G57" s="100"/>
      <c r="H57" s="100"/>
      <c r="I57" s="100"/>
      <c r="J57" s="100"/>
      <c r="K57" s="100"/>
    </row>
    <row r="58" spans="7:11" s="99" customFormat="1" x14ac:dyDescent="0.3">
      <c r="G58" s="100"/>
      <c r="H58" s="100"/>
      <c r="I58" s="100"/>
      <c r="J58" s="100"/>
      <c r="K58" s="100"/>
    </row>
    <row r="59" spans="7:11" s="99" customFormat="1" x14ac:dyDescent="0.3">
      <c r="G59" s="100"/>
      <c r="H59" s="100"/>
      <c r="I59" s="100"/>
      <c r="J59" s="100"/>
      <c r="K59" s="100"/>
    </row>
    <row r="60" spans="7:11" s="99" customFormat="1" x14ac:dyDescent="0.3">
      <c r="G60" s="100"/>
      <c r="H60" s="100"/>
      <c r="I60" s="100"/>
      <c r="J60" s="100"/>
      <c r="K60" s="100"/>
    </row>
    <row r="61" spans="7:11" s="99" customFormat="1" x14ac:dyDescent="0.3">
      <c r="G61" s="100"/>
      <c r="H61" s="100"/>
      <c r="I61" s="100"/>
      <c r="J61" s="100"/>
      <c r="K61" s="100"/>
    </row>
    <row r="62" spans="7:11" s="99" customFormat="1" x14ac:dyDescent="0.3">
      <c r="G62" s="100"/>
      <c r="H62" s="100"/>
      <c r="I62" s="100"/>
      <c r="J62" s="100"/>
      <c r="K62" s="100"/>
    </row>
    <row r="63" spans="7:11" s="99" customFormat="1" x14ac:dyDescent="0.3">
      <c r="G63" s="100"/>
      <c r="H63" s="100"/>
      <c r="I63" s="100"/>
      <c r="J63" s="100"/>
      <c r="K63" s="100"/>
    </row>
    <row r="64" spans="7:11" s="99" customFormat="1" x14ac:dyDescent="0.3">
      <c r="G64" s="100"/>
      <c r="H64" s="100"/>
      <c r="I64" s="100"/>
      <c r="J64" s="100"/>
      <c r="K64" s="100"/>
    </row>
    <row r="65" spans="7:11" s="99" customFormat="1" x14ac:dyDescent="0.3">
      <c r="G65" s="100"/>
      <c r="H65" s="100"/>
      <c r="I65" s="100"/>
      <c r="J65" s="100"/>
      <c r="K65" s="100"/>
    </row>
    <row r="66" spans="7:11" s="99" customFormat="1" x14ac:dyDescent="0.3">
      <c r="G66" s="100"/>
      <c r="H66" s="100"/>
      <c r="I66" s="100"/>
      <c r="J66" s="100"/>
      <c r="K66" s="100"/>
    </row>
    <row r="67" spans="7:11" s="99" customFormat="1" x14ac:dyDescent="0.3">
      <c r="G67" s="100"/>
      <c r="H67" s="100"/>
      <c r="I67" s="100"/>
      <c r="J67" s="100"/>
      <c r="K67" s="100"/>
    </row>
    <row r="68" spans="7:11" s="99" customFormat="1" x14ac:dyDescent="0.3">
      <c r="G68" s="100"/>
      <c r="H68" s="100"/>
      <c r="I68" s="100"/>
      <c r="J68" s="100"/>
      <c r="K68" s="100"/>
    </row>
    <row r="69" spans="7:11" s="99" customFormat="1" x14ac:dyDescent="0.3">
      <c r="G69" s="100"/>
      <c r="H69" s="100"/>
      <c r="I69" s="100"/>
      <c r="J69" s="100"/>
      <c r="K69" s="100"/>
    </row>
    <row r="70" spans="7:11" s="99" customFormat="1" x14ac:dyDescent="0.3">
      <c r="G70" s="100"/>
      <c r="H70" s="100"/>
      <c r="I70" s="100"/>
      <c r="J70" s="100"/>
      <c r="K70" s="100"/>
    </row>
    <row r="71" spans="7:11" s="99" customFormat="1" x14ac:dyDescent="0.3">
      <c r="G71" s="100"/>
      <c r="H71" s="100"/>
      <c r="I71" s="100"/>
      <c r="J71" s="100"/>
      <c r="K71" s="100"/>
    </row>
    <row r="72" spans="7:11" s="99" customFormat="1" x14ac:dyDescent="0.3">
      <c r="G72" s="100"/>
      <c r="H72" s="100"/>
      <c r="I72" s="100"/>
      <c r="J72" s="100"/>
      <c r="K72" s="100"/>
    </row>
    <row r="73" spans="7:11" s="99" customFormat="1" x14ac:dyDescent="0.3">
      <c r="G73" s="100"/>
      <c r="H73" s="100"/>
      <c r="I73" s="100"/>
      <c r="J73" s="100"/>
      <c r="K73" s="100"/>
    </row>
    <row r="74" spans="7:11" s="99" customFormat="1" x14ac:dyDescent="0.3">
      <c r="G74" s="100"/>
      <c r="H74" s="100"/>
      <c r="I74" s="100"/>
      <c r="J74" s="100"/>
      <c r="K74" s="100"/>
    </row>
    <row r="75" spans="7:11" s="99" customFormat="1" x14ac:dyDescent="0.3">
      <c r="G75" s="100"/>
      <c r="H75" s="100"/>
      <c r="I75" s="100"/>
      <c r="J75" s="100"/>
      <c r="K75" s="100"/>
    </row>
    <row r="76" spans="7:11" s="99" customFormat="1" x14ac:dyDescent="0.3">
      <c r="G76" s="100"/>
      <c r="H76" s="100"/>
      <c r="I76" s="100"/>
      <c r="J76" s="100"/>
      <c r="K76" s="100"/>
    </row>
    <row r="77" spans="7:11" s="99" customFormat="1" x14ac:dyDescent="0.3">
      <c r="G77" s="100"/>
      <c r="H77" s="100"/>
      <c r="I77" s="100"/>
      <c r="J77" s="100"/>
      <c r="K77" s="100"/>
    </row>
    <row r="78" spans="7:11" s="99" customFormat="1" x14ac:dyDescent="0.3">
      <c r="G78" s="100"/>
      <c r="H78" s="100"/>
      <c r="I78" s="100"/>
      <c r="J78" s="100"/>
      <c r="K78" s="100"/>
    </row>
    <row r="79" spans="7:11" s="99" customFormat="1" x14ac:dyDescent="0.3">
      <c r="G79" s="100"/>
      <c r="H79" s="100"/>
      <c r="I79" s="100"/>
      <c r="J79" s="100"/>
      <c r="K79" s="100"/>
    </row>
    <row r="80" spans="7:11" s="99" customFormat="1" x14ac:dyDescent="0.3">
      <c r="G80" s="100"/>
      <c r="H80" s="100"/>
      <c r="I80" s="100"/>
      <c r="J80" s="100"/>
      <c r="K80" s="100"/>
    </row>
    <row r="81" spans="7:11" s="99" customFormat="1" x14ac:dyDescent="0.3">
      <c r="G81" s="100"/>
      <c r="H81" s="100"/>
      <c r="I81" s="100"/>
      <c r="J81" s="100"/>
      <c r="K81" s="100"/>
    </row>
    <row r="82" spans="7:11" s="99" customFormat="1" x14ac:dyDescent="0.3">
      <c r="G82" s="100"/>
      <c r="H82" s="100"/>
      <c r="I82" s="100"/>
      <c r="J82" s="100"/>
      <c r="K82" s="100"/>
    </row>
    <row r="83" spans="7:11" s="99" customFormat="1" x14ac:dyDescent="0.3">
      <c r="G83" s="100"/>
      <c r="H83" s="100"/>
      <c r="I83" s="100"/>
      <c r="J83" s="100"/>
      <c r="K83" s="100"/>
    </row>
    <row r="84" spans="7:11" s="99" customFormat="1" x14ac:dyDescent="0.3">
      <c r="G84" s="100"/>
      <c r="H84" s="100"/>
      <c r="I84" s="100"/>
      <c r="J84" s="100"/>
      <c r="K84" s="100"/>
    </row>
    <row r="85" spans="7:11" s="99" customFormat="1" x14ac:dyDescent="0.3">
      <c r="G85" s="100"/>
      <c r="H85" s="100"/>
      <c r="I85" s="100"/>
      <c r="J85" s="100"/>
      <c r="K85" s="100"/>
    </row>
    <row r="86" spans="7:11" s="99" customFormat="1" x14ac:dyDescent="0.3">
      <c r="G86" s="100"/>
      <c r="H86" s="100"/>
      <c r="I86" s="100"/>
      <c r="J86" s="100"/>
      <c r="K86" s="100"/>
    </row>
    <row r="87" spans="7:11" s="99" customFormat="1" x14ac:dyDescent="0.3">
      <c r="G87" s="100"/>
      <c r="H87" s="100"/>
      <c r="I87" s="100"/>
      <c r="J87" s="100"/>
      <c r="K87" s="100"/>
    </row>
    <row r="88" spans="7:11" s="99" customFormat="1" x14ac:dyDescent="0.3">
      <c r="G88" s="100"/>
      <c r="H88" s="100"/>
      <c r="I88" s="100"/>
      <c r="J88" s="100"/>
      <c r="K88" s="100"/>
    </row>
    <row r="89" spans="7:11" s="99" customFormat="1" x14ac:dyDescent="0.3">
      <c r="G89" s="100"/>
      <c r="H89" s="100"/>
      <c r="I89" s="100"/>
      <c r="J89" s="100"/>
      <c r="K89" s="100"/>
    </row>
    <row r="90" spans="7:11" s="99" customFormat="1" x14ac:dyDescent="0.3">
      <c r="G90" s="100"/>
      <c r="H90" s="100"/>
      <c r="I90" s="100"/>
      <c r="J90" s="100"/>
      <c r="K90" s="100"/>
    </row>
    <row r="91" spans="7:11" s="99" customFormat="1" x14ac:dyDescent="0.3">
      <c r="G91" s="100"/>
      <c r="H91" s="100"/>
      <c r="I91" s="100"/>
      <c r="J91" s="100"/>
      <c r="K91" s="100"/>
    </row>
    <row r="92" spans="7:11" s="99" customFormat="1" x14ac:dyDescent="0.3">
      <c r="G92" s="100"/>
      <c r="H92" s="100"/>
      <c r="I92" s="100"/>
      <c r="J92" s="100"/>
      <c r="K92" s="100"/>
    </row>
    <row r="93" spans="7:11" s="99" customFormat="1" x14ac:dyDescent="0.3">
      <c r="G93" s="100"/>
      <c r="H93" s="100"/>
      <c r="I93" s="100"/>
      <c r="J93" s="100"/>
      <c r="K93" s="100"/>
    </row>
  </sheetData>
  <mergeCells count="22">
    <mergeCell ref="C20:E20"/>
    <mergeCell ref="C3:K3"/>
    <mergeCell ref="Q3:T3"/>
    <mergeCell ref="Q4:T8"/>
    <mergeCell ref="C5:K5"/>
    <mergeCell ref="C6:G6"/>
    <mergeCell ref="Q10:R10"/>
    <mergeCell ref="Q11:R11"/>
    <mergeCell ref="C17:E17"/>
    <mergeCell ref="C18:E18"/>
    <mergeCell ref="Q18:R18"/>
    <mergeCell ref="C19:E19"/>
    <mergeCell ref="C21:E21"/>
    <mergeCell ref="C22:E22"/>
    <mergeCell ref="C23:E23"/>
    <mergeCell ref="C24:E24"/>
    <mergeCell ref="C27:E27"/>
    <mergeCell ref="C29:E29"/>
    <mergeCell ref="C37:E37"/>
    <mergeCell ref="C38:E38"/>
    <mergeCell ref="C25:E25"/>
    <mergeCell ref="C26:E26"/>
  </mergeCells>
  <pageMargins left="0.7" right="0.7" top="0.75" bottom="0.75" header="0.3" footer="0.3"/>
  <pageSetup scale="60"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B101"/>
  <sheetViews>
    <sheetView topLeftCell="A16" zoomScale="84" zoomScaleNormal="100" workbookViewId="0">
      <selection activeCell="M37" sqref="M37"/>
    </sheetView>
  </sheetViews>
  <sheetFormatPr defaultColWidth="9" defaultRowHeight="17.399999999999999" x14ac:dyDescent="0.3"/>
  <cols>
    <col min="1" max="1" width="2.5" style="99" customWidth="1"/>
    <col min="2" max="2" width="1.19921875" style="105" customWidth="1"/>
    <col min="3" max="3" width="31.3984375" style="105" customWidth="1"/>
    <col min="4" max="4" width="1.19921875" style="105" customWidth="1"/>
    <col min="5" max="5" width="19.8984375" style="105" customWidth="1"/>
    <col min="6" max="6" width="1.19921875" style="105" customWidth="1"/>
    <col min="7" max="7" width="12.5" style="194" customWidth="1"/>
    <col min="8" max="8" width="1.19921875" style="194" customWidth="1"/>
    <col min="9" max="9" width="16.5" style="194" customWidth="1"/>
    <col min="10" max="10" width="1.19921875" style="194" customWidth="1"/>
    <col min="11" max="11" width="12.5" style="194" customWidth="1"/>
    <col min="12" max="12" width="1.19921875" style="105" customWidth="1"/>
    <col min="13" max="14" width="17.5" style="105" customWidth="1"/>
    <col min="15" max="15" width="1.8984375" style="105" customWidth="1"/>
    <col min="16" max="16" width="1.8984375" style="99" customWidth="1"/>
    <col min="17" max="17" width="12.19921875" style="99" bestFit="1" customWidth="1"/>
    <col min="18" max="18" width="22" style="99" customWidth="1"/>
    <col min="19" max="28" width="9" style="99"/>
    <col min="29" max="16384" width="9" style="105"/>
  </cols>
  <sheetData>
    <row r="1" spans="2:20" s="99" customFormat="1" ht="15" customHeight="1" thickBot="1" x14ac:dyDescent="0.35">
      <c r="G1" s="100"/>
      <c r="H1" s="100"/>
      <c r="I1" s="100"/>
      <c r="J1" s="100"/>
      <c r="K1" s="100"/>
    </row>
    <row r="2" spans="2:20" ht="7.5" customHeight="1" x14ac:dyDescent="0.3">
      <c r="B2" s="101"/>
      <c r="C2" s="102"/>
      <c r="D2" s="102"/>
      <c r="E2" s="102"/>
      <c r="F2" s="102"/>
      <c r="G2" s="103"/>
      <c r="H2" s="103"/>
      <c r="I2" s="103"/>
      <c r="J2" s="103"/>
      <c r="K2" s="103"/>
      <c r="L2" s="102"/>
      <c r="M2" s="102"/>
      <c r="N2" s="102"/>
      <c r="O2" s="104"/>
      <c r="Q2" s="105"/>
      <c r="R2" s="106"/>
      <c r="S2" s="106"/>
      <c r="T2" s="106"/>
    </row>
    <row r="3" spans="2:20" ht="30" customHeight="1" thickBot="1" x14ac:dyDescent="0.35">
      <c r="B3" s="107"/>
      <c r="C3" s="289" t="s">
        <v>123</v>
      </c>
      <c r="D3" s="289"/>
      <c r="E3" s="289"/>
      <c r="F3" s="289"/>
      <c r="G3" s="289"/>
      <c r="H3" s="289"/>
      <c r="I3" s="289"/>
      <c r="J3" s="289"/>
      <c r="K3" s="289"/>
      <c r="L3" s="108"/>
      <c r="M3" s="109" t="s">
        <v>50</v>
      </c>
      <c r="N3" s="110">
        <v>2019</v>
      </c>
      <c r="O3" s="111"/>
      <c r="Q3" s="290" t="s">
        <v>53</v>
      </c>
      <c r="R3" s="290"/>
      <c r="S3" s="290"/>
      <c r="T3" s="290"/>
    </row>
    <row r="4" spans="2:20" ht="7.5" customHeight="1" x14ac:dyDescent="0.3">
      <c r="B4" s="107"/>
      <c r="C4" s="112"/>
      <c r="D4" s="112"/>
      <c r="E4" s="112"/>
      <c r="F4" s="112"/>
      <c r="G4" s="112"/>
      <c r="H4" s="112"/>
      <c r="I4" s="112"/>
      <c r="J4" s="112"/>
      <c r="K4" s="112"/>
      <c r="L4" s="108"/>
      <c r="M4" s="109"/>
      <c r="N4" s="113"/>
      <c r="O4" s="111"/>
      <c r="Q4" s="291" t="s">
        <v>125</v>
      </c>
      <c r="R4" s="292"/>
      <c r="S4" s="292"/>
      <c r="T4" s="293"/>
    </row>
    <row r="5" spans="2:20" ht="30" customHeight="1" x14ac:dyDescent="0.3">
      <c r="B5" s="114"/>
      <c r="C5" s="300" t="s">
        <v>145</v>
      </c>
      <c r="D5" s="301"/>
      <c r="E5" s="301"/>
      <c r="F5" s="301"/>
      <c r="G5" s="301"/>
      <c r="H5" s="301"/>
      <c r="I5" s="301"/>
      <c r="J5" s="301"/>
      <c r="K5" s="302"/>
      <c r="L5" s="108"/>
      <c r="M5" s="109" t="s">
        <v>110</v>
      </c>
      <c r="N5" s="110">
        <v>24</v>
      </c>
      <c r="O5" s="115"/>
      <c r="P5" s="116"/>
      <c r="Q5" s="294"/>
      <c r="R5" s="295"/>
      <c r="S5" s="295"/>
      <c r="T5" s="296"/>
    </row>
    <row r="6" spans="2:20" ht="7.5" customHeight="1" x14ac:dyDescent="0.3">
      <c r="B6" s="117"/>
      <c r="C6" s="303"/>
      <c r="D6" s="303"/>
      <c r="E6" s="304"/>
      <c r="F6" s="304"/>
      <c r="G6" s="304"/>
      <c r="H6" s="118"/>
      <c r="I6" s="119"/>
      <c r="J6" s="119"/>
      <c r="K6" s="119"/>
      <c r="L6" s="118"/>
      <c r="M6" s="118"/>
      <c r="N6" s="118"/>
      <c r="O6" s="120"/>
      <c r="Q6" s="294"/>
      <c r="R6" s="295"/>
      <c r="S6" s="295"/>
      <c r="T6" s="296"/>
    </row>
    <row r="7" spans="2:20" ht="22.5" customHeight="1" x14ac:dyDescent="0.3">
      <c r="B7" s="107"/>
      <c r="C7" s="121"/>
      <c r="D7" s="121"/>
      <c r="E7" s="122"/>
      <c r="F7" s="122"/>
      <c r="G7" s="123"/>
      <c r="H7" s="123"/>
      <c r="I7" s="121" t="s">
        <v>9</v>
      </c>
      <c r="J7" s="121"/>
      <c r="K7" s="124"/>
      <c r="L7" s="124"/>
      <c r="M7" s="125"/>
      <c r="N7" s="240" t="s">
        <v>120</v>
      </c>
      <c r="O7" s="127"/>
      <c r="P7" s="128"/>
      <c r="Q7" s="294"/>
      <c r="R7" s="295"/>
      <c r="S7" s="295"/>
      <c r="T7" s="296"/>
    </row>
    <row r="8" spans="2:20" ht="22.5" customHeight="1" thickBot="1" x14ac:dyDescent="0.35">
      <c r="B8" s="107"/>
      <c r="C8" s="129"/>
      <c r="D8" s="129"/>
      <c r="E8" s="130" t="s">
        <v>8</v>
      </c>
      <c r="F8" s="130"/>
      <c r="G8" s="130"/>
      <c r="H8" s="130"/>
      <c r="I8" s="130" t="s">
        <v>7</v>
      </c>
      <c r="J8" s="130"/>
      <c r="K8" s="130" t="s">
        <v>2</v>
      </c>
      <c r="L8" s="130"/>
      <c r="M8" s="131" t="s">
        <v>11</v>
      </c>
      <c r="N8" s="131" t="s">
        <v>1</v>
      </c>
      <c r="O8" s="132"/>
      <c r="P8" s="133"/>
      <c r="Q8" s="297"/>
      <c r="R8" s="298"/>
      <c r="S8" s="298"/>
      <c r="T8" s="299"/>
    </row>
    <row r="9" spans="2:20" ht="22.5" customHeight="1" thickBot="1" x14ac:dyDescent="0.35">
      <c r="B9" s="107"/>
      <c r="C9" s="134"/>
      <c r="D9" s="134"/>
      <c r="E9" s="135" t="s">
        <v>6</v>
      </c>
      <c r="F9" s="135"/>
      <c r="G9" s="136" t="s">
        <v>0</v>
      </c>
      <c r="H9" s="136"/>
      <c r="I9" s="136" t="s">
        <v>10</v>
      </c>
      <c r="J9" s="136"/>
      <c r="K9" s="136" t="s">
        <v>5</v>
      </c>
      <c r="L9" s="136"/>
      <c r="M9" s="137" t="s">
        <v>12</v>
      </c>
      <c r="N9" s="137" t="s">
        <v>4</v>
      </c>
      <c r="O9" s="132"/>
      <c r="P9" s="133"/>
      <c r="Q9" s="138"/>
      <c r="R9" s="138"/>
    </row>
    <row r="10" spans="2:20" ht="22.5" customHeight="1" thickBot="1" x14ac:dyDescent="0.35">
      <c r="B10" s="107"/>
      <c r="C10" s="139" t="s">
        <v>20</v>
      </c>
      <c r="D10" s="140"/>
      <c r="E10" s="141"/>
      <c r="F10" s="141"/>
      <c r="G10" s="142"/>
      <c r="H10" s="142"/>
      <c r="I10" s="142"/>
      <c r="J10" s="142"/>
      <c r="K10" s="142"/>
      <c r="L10" s="141"/>
      <c r="M10" s="143"/>
      <c r="N10" s="143"/>
      <c r="O10" s="111"/>
      <c r="Q10" s="305"/>
      <c r="R10" s="305"/>
    </row>
    <row r="11" spans="2:20" ht="22.5" customHeight="1" x14ac:dyDescent="0.3">
      <c r="B11" s="107"/>
      <c r="C11" s="1" t="s">
        <v>98</v>
      </c>
      <c r="D11" s="141"/>
      <c r="E11" s="2">
        <v>800</v>
      </c>
      <c r="F11" s="144"/>
      <c r="G11" s="3" t="s">
        <v>13</v>
      </c>
      <c r="H11" s="142"/>
      <c r="I11" s="3">
        <f>N5</f>
        <v>24</v>
      </c>
      <c r="J11" s="142"/>
      <c r="K11" s="98">
        <v>-1.5</v>
      </c>
      <c r="L11" s="145"/>
      <c r="M11" s="146">
        <f>E11*I11*K11</f>
        <v>-28800</v>
      </c>
      <c r="N11" s="147">
        <f>M11/I11</f>
        <v>-1200</v>
      </c>
      <c r="O11" s="148"/>
      <c r="P11" s="149"/>
      <c r="Q11" s="309" t="s">
        <v>47</v>
      </c>
      <c r="R11" s="310"/>
    </row>
    <row r="12" spans="2:20" ht="22.5" customHeight="1" x14ac:dyDescent="0.3">
      <c r="B12" s="107"/>
      <c r="C12" s="5" t="s">
        <v>144</v>
      </c>
      <c r="D12" s="141"/>
      <c r="E12" s="2">
        <f>1150*yield</f>
        <v>460</v>
      </c>
      <c r="F12" s="144"/>
      <c r="G12" s="3" t="s">
        <v>13</v>
      </c>
      <c r="H12" s="142"/>
      <c r="I12" s="3">
        <f>N5</f>
        <v>24</v>
      </c>
      <c r="J12" s="142"/>
      <c r="K12" s="98">
        <v>9</v>
      </c>
      <c r="L12" s="145"/>
      <c r="M12" s="146">
        <f>E12*I12*K12</f>
        <v>99360</v>
      </c>
      <c r="N12" s="147">
        <f>M12/24</f>
        <v>4140</v>
      </c>
      <c r="O12" s="148"/>
      <c r="P12" s="149"/>
      <c r="Q12" s="96">
        <v>1150</v>
      </c>
      <c r="R12" s="58" t="s">
        <v>94</v>
      </c>
    </row>
    <row r="13" spans="2:20" ht="22.5" customHeight="1" x14ac:dyDescent="0.3">
      <c r="B13" s="107"/>
      <c r="C13" s="5"/>
      <c r="D13" s="141"/>
      <c r="E13" s="2"/>
      <c r="F13" s="144"/>
      <c r="G13" s="3"/>
      <c r="H13" s="142"/>
      <c r="I13" s="3"/>
      <c r="J13" s="142"/>
      <c r="K13" s="4"/>
      <c r="L13" s="145"/>
      <c r="M13" s="146">
        <f>E13*I13*K13</f>
        <v>0</v>
      </c>
      <c r="N13" s="147">
        <f>M13/$N$5</f>
        <v>0</v>
      </c>
      <c r="O13" s="148"/>
      <c r="P13" s="149"/>
      <c r="Q13" s="262">
        <v>0.4</v>
      </c>
      <c r="R13" s="58" t="s">
        <v>121</v>
      </c>
    </row>
    <row r="14" spans="2:20" ht="22.5" customHeight="1" thickBot="1" x14ac:dyDescent="0.35">
      <c r="B14" s="107"/>
      <c r="C14" s="150" t="s">
        <v>19</v>
      </c>
      <c r="D14" s="150"/>
      <c r="E14" s="151"/>
      <c r="F14" s="151"/>
      <c r="G14" s="152"/>
      <c r="H14" s="152"/>
      <c r="I14" s="152"/>
      <c r="J14" s="152"/>
      <c r="K14" s="152"/>
      <c r="L14" s="151"/>
      <c r="M14" s="153">
        <f>SUM(M11:M13)</f>
        <v>70560</v>
      </c>
      <c r="N14" s="153">
        <f>SUM(N11:N13)</f>
        <v>2940</v>
      </c>
      <c r="O14" s="155"/>
      <c r="P14" s="156"/>
      <c r="Q14" s="56"/>
      <c r="R14" s="59" t="s">
        <v>122</v>
      </c>
    </row>
    <row r="15" spans="2:20" ht="22.5" customHeight="1" thickBot="1" x14ac:dyDescent="0.35">
      <c r="B15" s="107"/>
      <c r="C15" s="141"/>
      <c r="D15" s="141"/>
      <c r="E15" s="141"/>
      <c r="F15" s="141"/>
      <c r="G15" s="142"/>
      <c r="H15" s="142"/>
      <c r="I15" s="142"/>
      <c r="J15" s="142"/>
      <c r="K15" s="142"/>
      <c r="L15" s="141"/>
      <c r="M15" s="157"/>
      <c r="N15" s="158"/>
      <c r="O15" s="148"/>
      <c r="P15" s="149"/>
      <c r="Q15" s="56">
        <v>0.01</v>
      </c>
      <c r="R15" s="59" t="s">
        <v>113</v>
      </c>
    </row>
    <row r="16" spans="2:20" ht="22.5" customHeight="1" thickBot="1" x14ac:dyDescent="0.35">
      <c r="B16" s="107"/>
      <c r="C16" s="150" t="s">
        <v>21</v>
      </c>
      <c r="D16" s="150"/>
      <c r="E16" s="151"/>
      <c r="F16" s="141"/>
      <c r="G16" s="142"/>
      <c r="H16" s="142"/>
      <c r="I16" s="142"/>
      <c r="J16" s="142"/>
      <c r="K16" s="142"/>
      <c r="L16" s="141"/>
      <c r="M16" s="159"/>
      <c r="N16" s="158"/>
      <c r="O16" s="148"/>
      <c r="P16" s="149"/>
    </row>
    <row r="17" spans="2:18" ht="22.5" customHeight="1" x14ac:dyDescent="0.3">
      <c r="B17" s="107"/>
      <c r="C17" s="306" t="s">
        <v>137</v>
      </c>
      <c r="D17" s="306"/>
      <c r="E17" s="306"/>
      <c r="F17" s="141"/>
      <c r="G17" s="3" t="s">
        <v>14</v>
      </c>
      <c r="H17" s="142"/>
      <c r="I17" s="6">
        <f>($N$5*(24*120))/2000</f>
        <v>34.56</v>
      </c>
      <c r="J17" s="142"/>
      <c r="K17" s="7">
        <v>160</v>
      </c>
      <c r="L17" s="144"/>
      <c r="M17" s="146">
        <f>I17*K17</f>
        <v>5529.6</v>
      </c>
      <c r="N17" s="147">
        <f>M17/$N$5</f>
        <v>230.4</v>
      </c>
      <c r="O17" s="148"/>
      <c r="P17" s="149"/>
    </row>
    <row r="18" spans="2:18" ht="22.5" customHeight="1" x14ac:dyDescent="0.3">
      <c r="B18" s="107"/>
      <c r="C18" s="287" t="s">
        <v>138</v>
      </c>
      <c r="D18" s="287"/>
      <c r="E18" s="287"/>
      <c r="F18" s="141"/>
      <c r="G18" s="3" t="s">
        <v>15</v>
      </c>
      <c r="H18" s="142"/>
      <c r="I18" s="6">
        <f>4*$N$5</f>
        <v>96</v>
      </c>
      <c r="J18" s="142"/>
      <c r="K18" s="7">
        <v>25</v>
      </c>
      <c r="L18" s="144"/>
      <c r="M18" s="146">
        <f t="shared" ref="M18:M30" si="0">I18*K18</f>
        <v>2400</v>
      </c>
      <c r="N18" s="147">
        <f t="shared" ref="N18:N35" si="1">M18/$N$5</f>
        <v>100</v>
      </c>
      <c r="O18" s="148"/>
      <c r="P18" s="149"/>
      <c r="Q18" s="307"/>
      <c r="R18" s="307"/>
    </row>
    <row r="19" spans="2:18" ht="22.5" customHeight="1" x14ac:dyDescent="0.3">
      <c r="B19" s="107"/>
      <c r="C19" s="287" t="s">
        <v>28</v>
      </c>
      <c r="D19" s="287"/>
      <c r="E19" s="287"/>
      <c r="F19" s="141"/>
      <c r="G19" s="3" t="s">
        <v>16</v>
      </c>
      <c r="H19" s="142"/>
      <c r="I19" s="6">
        <f>N5</f>
        <v>24</v>
      </c>
      <c r="J19" s="142"/>
      <c r="K19" s="7">
        <f>24*(8/12)</f>
        <v>16</v>
      </c>
      <c r="L19" s="144"/>
      <c r="M19" s="146">
        <f t="shared" si="0"/>
        <v>384</v>
      </c>
      <c r="N19" s="147">
        <f t="shared" si="1"/>
        <v>16</v>
      </c>
      <c r="O19" s="148"/>
      <c r="P19" s="149"/>
    </row>
    <row r="20" spans="2:18" ht="22.5" customHeight="1" x14ac:dyDescent="0.3">
      <c r="B20" s="107"/>
      <c r="C20" s="287" t="s">
        <v>93</v>
      </c>
      <c r="D20" s="287"/>
      <c r="E20" s="287"/>
      <c r="F20" s="141"/>
      <c r="G20" s="3" t="s">
        <v>17</v>
      </c>
      <c r="H20" s="142"/>
      <c r="I20" s="6">
        <v>1</v>
      </c>
      <c r="J20" s="142"/>
      <c r="K20" s="7">
        <f>10*$N$5</f>
        <v>240</v>
      </c>
      <c r="L20" s="144"/>
      <c r="M20" s="146">
        <f t="shared" si="0"/>
        <v>240</v>
      </c>
      <c r="N20" s="147">
        <f t="shared" si="1"/>
        <v>10</v>
      </c>
      <c r="O20" s="148"/>
      <c r="P20" s="149"/>
    </row>
    <row r="21" spans="2:18" ht="22.5" customHeight="1" x14ac:dyDescent="0.3">
      <c r="B21" s="107"/>
      <c r="C21" s="283" t="s">
        <v>111</v>
      </c>
      <c r="D21" s="284"/>
      <c r="E21" s="285"/>
      <c r="F21" s="141"/>
      <c r="G21" s="3" t="s">
        <v>112</v>
      </c>
      <c r="H21" s="142"/>
      <c r="I21" s="235">
        <v>0.01</v>
      </c>
      <c r="J21" s="142"/>
      <c r="K21" s="7">
        <f>-(M11)</f>
        <v>28800</v>
      </c>
      <c r="L21" s="144"/>
      <c r="M21" s="146">
        <f t="shared" si="0"/>
        <v>288</v>
      </c>
      <c r="N21" s="147">
        <f t="shared" si="1"/>
        <v>12</v>
      </c>
      <c r="O21" s="148"/>
      <c r="P21" s="149"/>
    </row>
    <row r="22" spans="2:18" ht="22.5" customHeight="1" x14ac:dyDescent="0.3">
      <c r="B22" s="107"/>
      <c r="C22" s="287" t="s">
        <v>54</v>
      </c>
      <c r="D22" s="287"/>
      <c r="E22" s="287"/>
      <c r="F22" s="141"/>
      <c r="G22" s="3" t="s">
        <v>16</v>
      </c>
      <c r="H22" s="142"/>
      <c r="I22" s="6">
        <v>24</v>
      </c>
      <c r="J22" s="142"/>
      <c r="K22" s="7">
        <v>8</v>
      </c>
      <c r="L22" s="144"/>
      <c r="M22" s="146">
        <f t="shared" si="0"/>
        <v>192</v>
      </c>
      <c r="N22" s="147">
        <f t="shared" si="1"/>
        <v>8</v>
      </c>
      <c r="O22" s="148"/>
      <c r="P22" s="149"/>
    </row>
    <row r="23" spans="2:18" ht="22.5" customHeight="1" x14ac:dyDescent="0.3">
      <c r="B23" s="107"/>
      <c r="C23" s="287" t="s">
        <v>55</v>
      </c>
      <c r="D23" s="287"/>
      <c r="E23" s="287"/>
      <c r="F23" s="141"/>
      <c r="G23" s="3" t="s">
        <v>16</v>
      </c>
      <c r="H23" s="142"/>
      <c r="I23" s="6">
        <f>$N$5</f>
        <v>24</v>
      </c>
      <c r="J23" s="142"/>
      <c r="K23" s="7">
        <v>10</v>
      </c>
      <c r="L23" s="144"/>
      <c r="M23" s="146">
        <f t="shared" si="0"/>
        <v>240</v>
      </c>
      <c r="N23" s="147">
        <f t="shared" si="1"/>
        <v>10</v>
      </c>
      <c r="O23" s="148"/>
      <c r="P23" s="149"/>
    </row>
    <row r="24" spans="2:18" ht="22.5" customHeight="1" x14ac:dyDescent="0.3">
      <c r="B24" s="107"/>
      <c r="C24" s="287" t="s">
        <v>30</v>
      </c>
      <c r="D24" s="287"/>
      <c r="E24" s="287"/>
      <c r="F24" s="141"/>
      <c r="G24" s="3" t="s">
        <v>18</v>
      </c>
      <c r="H24" s="142"/>
      <c r="I24" s="6">
        <v>0</v>
      </c>
      <c r="J24" s="142"/>
      <c r="K24" s="7">
        <v>13.82</v>
      </c>
      <c r="L24" s="144"/>
      <c r="M24" s="146">
        <f t="shared" si="0"/>
        <v>0</v>
      </c>
      <c r="N24" s="147">
        <f t="shared" si="1"/>
        <v>0</v>
      </c>
      <c r="O24" s="148"/>
      <c r="P24" s="149"/>
    </row>
    <row r="25" spans="2:18" ht="22.5" customHeight="1" x14ac:dyDescent="0.3">
      <c r="B25" s="107"/>
      <c r="C25" s="287" t="s">
        <v>134</v>
      </c>
      <c r="D25" s="287"/>
      <c r="E25" s="287"/>
      <c r="F25" s="141"/>
      <c r="G25" s="3" t="s">
        <v>18</v>
      </c>
      <c r="H25" s="142"/>
      <c r="I25" s="6">
        <f>8*30</f>
        <v>240</v>
      </c>
      <c r="J25" s="142"/>
      <c r="K25" s="7">
        <v>25</v>
      </c>
      <c r="L25" s="144"/>
      <c r="M25" s="146">
        <f t="shared" si="0"/>
        <v>6000</v>
      </c>
      <c r="N25" s="147">
        <f t="shared" si="1"/>
        <v>250</v>
      </c>
      <c r="O25" s="148"/>
      <c r="P25" s="149"/>
    </row>
    <row r="26" spans="2:18" ht="22.5" customHeight="1" x14ac:dyDescent="0.3">
      <c r="B26" s="107"/>
      <c r="C26" s="287" t="s">
        <v>114</v>
      </c>
      <c r="D26" s="287"/>
      <c r="E26" s="287"/>
      <c r="F26" s="141"/>
      <c r="G26" s="3" t="s">
        <v>16</v>
      </c>
      <c r="H26" s="142"/>
      <c r="I26" s="6">
        <f>$N$5</f>
        <v>24</v>
      </c>
      <c r="J26" s="142"/>
      <c r="K26" s="7">
        <v>2.71</v>
      </c>
      <c r="L26" s="144"/>
      <c r="M26" s="146">
        <f t="shared" si="0"/>
        <v>65.039999999999992</v>
      </c>
      <c r="N26" s="147">
        <f t="shared" si="1"/>
        <v>2.7099999999999995</v>
      </c>
      <c r="O26" s="148"/>
      <c r="P26" s="149"/>
    </row>
    <row r="27" spans="2:18" ht="22.5" customHeight="1" x14ac:dyDescent="0.3">
      <c r="B27" s="107"/>
      <c r="C27" s="283" t="s">
        <v>115</v>
      </c>
      <c r="D27" s="284"/>
      <c r="E27" s="285"/>
      <c r="F27" s="141"/>
      <c r="G27" s="3" t="s">
        <v>16</v>
      </c>
      <c r="H27" s="142"/>
      <c r="I27" s="6">
        <f>$N$5</f>
        <v>24</v>
      </c>
      <c r="J27" s="142"/>
      <c r="K27" s="7">
        <v>200</v>
      </c>
      <c r="L27" s="144"/>
      <c r="M27" s="146">
        <f t="shared" si="0"/>
        <v>4800</v>
      </c>
      <c r="N27" s="147">
        <f t="shared" si="1"/>
        <v>200</v>
      </c>
      <c r="O27" s="148"/>
      <c r="P27" s="149"/>
    </row>
    <row r="28" spans="2:18" ht="22.5" customHeight="1" x14ac:dyDescent="0.3">
      <c r="B28" s="107"/>
      <c r="C28" s="287" t="s">
        <v>116</v>
      </c>
      <c r="D28" s="287"/>
      <c r="E28" s="287"/>
      <c r="F28" s="141"/>
      <c r="G28" s="160" t="s">
        <v>16</v>
      </c>
      <c r="H28" s="142"/>
      <c r="I28" s="6">
        <f>E12*I12</f>
        <v>11040</v>
      </c>
      <c r="J28" s="142"/>
      <c r="K28" s="9">
        <v>1.1000000000000001</v>
      </c>
      <c r="L28" s="144"/>
      <c r="M28" s="146">
        <f t="shared" si="0"/>
        <v>12144.000000000002</v>
      </c>
      <c r="N28" s="147">
        <f t="shared" si="1"/>
        <v>506.00000000000006</v>
      </c>
      <c r="O28" s="148"/>
      <c r="P28" s="149"/>
    </row>
    <row r="29" spans="2:18" ht="22.5" customHeight="1" x14ac:dyDescent="0.3">
      <c r="B29" s="107"/>
      <c r="C29" s="287" t="s">
        <v>117</v>
      </c>
      <c r="D29" s="287"/>
      <c r="E29" s="287"/>
      <c r="F29" s="141"/>
      <c r="G29" s="3" t="s">
        <v>119</v>
      </c>
      <c r="H29" s="141"/>
      <c r="I29" s="3">
        <v>1</v>
      </c>
      <c r="J29" s="141"/>
      <c r="K29" s="5">
        <v>500</v>
      </c>
      <c r="L29" s="144"/>
      <c r="M29" s="146">
        <f t="shared" si="0"/>
        <v>500</v>
      </c>
      <c r="N29" s="147">
        <f t="shared" si="1"/>
        <v>20.833333333333332</v>
      </c>
      <c r="O29" s="148"/>
      <c r="P29" s="149"/>
    </row>
    <row r="30" spans="2:18" ht="22.5" customHeight="1" x14ac:dyDescent="0.3">
      <c r="B30" s="107"/>
      <c r="C30" s="287" t="s">
        <v>118</v>
      </c>
      <c r="D30" s="287"/>
      <c r="E30" s="287"/>
      <c r="F30" s="141"/>
      <c r="G30" s="3" t="s">
        <v>119</v>
      </c>
      <c r="H30" s="141"/>
      <c r="I30" s="3">
        <v>1</v>
      </c>
      <c r="J30" s="141"/>
      <c r="K30" s="5">
        <f>12*120</f>
        <v>1440</v>
      </c>
      <c r="L30" s="144"/>
      <c r="M30" s="146">
        <f t="shared" si="0"/>
        <v>1440</v>
      </c>
      <c r="N30" s="147">
        <f t="shared" si="1"/>
        <v>60</v>
      </c>
      <c r="O30" s="148"/>
      <c r="P30" s="149"/>
    </row>
    <row r="31" spans="2:18" ht="22.5" customHeight="1" x14ac:dyDescent="0.3">
      <c r="B31" s="107"/>
      <c r="C31" s="282" t="s">
        <v>42</v>
      </c>
      <c r="D31" s="282"/>
      <c r="E31" s="282"/>
      <c r="F31" s="141"/>
      <c r="G31" s="142"/>
      <c r="H31" s="142"/>
      <c r="I31" s="161"/>
      <c r="J31" s="142"/>
      <c r="K31" s="10">
        <v>1200</v>
      </c>
      <c r="L31" s="144"/>
      <c r="M31" s="146">
        <f>K31</f>
        <v>1200</v>
      </c>
      <c r="N31" s="147">
        <f t="shared" si="1"/>
        <v>50</v>
      </c>
      <c r="O31" s="148"/>
      <c r="P31" s="149"/>
    </row>
    <row r="32" spans="2:18" ht="22.5" customHeight="1" x14ac:dyDescent="0.3">
      <c r="B32" s="107"/>
      <c r="C32" s="282" t="s">
        <v>43</v>
      </c>
      <c r="D32" s="282"/>
      <c r="E32" s="282"/>
      <c r="F32" s="141"/>
      <c r="G32" s="142"/>
      <c r="H32" s="142"/>
      <c r="I32" s="161"/>
      <c r="J32" s="142"/>
      <c r="K32" s="7">
        <v>500</v>
      </c>
      <c r="L32" s="144"/>
      <c r="M32" s="146">
        <f>K32</f>
        <v>500</v>
      </c>
      <c r="N32" s="147">
        <f t="shared" si="1"/>
        <v>20.833333333333332</v>
      </c>
      <c r="O32" s="148"/>
      <c r="P32" s="149"/>
    </row>
    <row r="33" spans="2:17" ht="22.5" customHeight="1" x14ac:dyDescent="0.3">
      <c r="B33" s="107"/>
      <c r="C33" s="282" t="s">
        <v>44</v>
      </c>
      <c r="D33" s="282"/>
      <c r="E33" s="282"/>
      <c r="F33" s="141"/>
      <c r="G33" s="142"/>
      <c r="H33" s="142"/>
      <c r="I33" s="161"/>
      <c r="J33" s="142"/>
      <c r="K33" s="7">
        <v>200</v>
      </c>
      <c r="L33" s="144"/>
      <c r="M33" s="146">
        <f>K33</f>
        <v>200</v>
      </c>
      <c r="N33" s="147">
        <f t="shared" si="1"/>
        <v>8.3333333333333339</v>
      </c>
      <c r="O33" s="148"/>
      <c r="P33" s="149"/>
    </row>
    <row r="34" spans="2:17" ht="22.5" customHeight="1" x14ac:dyDescent="0.3">
      <c r="B34" s="107"/>
      <c r="C34" s="162" t="s">
        <v>49</v>
      </c>
      <c r="D34" s="162"/>
      <c r="E34" s="162"/>
      <c r="F34" s="141"/>
      <c r="G34" s="142"/>
      <c r="H34" s="142"/>
      <c r="I34" s="161"/>
      <c r="J34" s="142"/>
      <c r="K34" s="7">
        <v>1000</v>
      </c>
      <c r="L34" s="144"/>
      <c r="M34" s="146">
        <f>K34</f>
        <v>1000</v>
      </c>
      <c r="N34" s="147">
        <f t="shared" si="1"/>
        <v>41.666666666666664</v>
      </c>
      <c r="O34" s="148"/>
      <c r="P34" s="149"/>
    </row>
    <row r="35" spans="2:17" ht="22.5" customHeight="1" x14ac:dyDescent="0.3">
      <c r="B35" s="107"/>
      <c r="C35" s="282" t="s">
        <v>29</v>
      </c>
      <c r="D35" s="282"/>
      <c r="E35" s="282"/>
      <c r="F35" s="141"/>
      <c r="G35" s="142"/>
      <c r="H35" s="142"/>
      <c r="I35" s="11">
        <v>12000</v>
      </c>
      <c r="J35" s="163"/>
      <c r="K35" s="12">
        <v>5.7500000000000002E-2</v>
      </c>
      <c r="L35" s="164"/>
      <c r="M35" s="146">
        <f>I35*K35</f>
        <v>690</v>
      </c>
      <c r="N35" s="147">
        <f t="shared" si="1"/>
        <v>28.75</v>
      </c>
      <c r="O35" s="148"/>
      <c r="P35" s="149"/>
    </row>
    <row r="36" spans="2:17" ht="22.5" customHeight="1" thickBot="1" x14ac:dyDescent="0.35">
      <c r="B36" s="107"/>
      <c r="C36" s="150" t="s">
        <v>22</v>
      </c>
      <c r="D36" s="150"/>
      <c r="E36" s="151"/>
      <c r="F36" s="151"/>
      <c r="G36" s="152"/>
      <c r="H36" s="152"/>
      <c r="I36" s="152"/>
      <c r="J36" s="152"/>
      <c r="K36" s="165"/>
      <c r="L36" s="166"/>
      <c r="M36" s="167">
        <f>SUM(M17:M35)</f>
        <v>37812.639999999999</v>
      </c>
      <c r="N36" s="168">
        <f>M36/$N$5</f>
        <v>1575.5266666666666</v>
      </c>
      <c r="O36" s="169"/>
      <c r="P36" s="170"/>
      <c r="Q36" s="236"/>
    </row>
    <row r="37" spans="2:17" ht="22.5" customHeight="1" x14ac:dyDescent="0.3">
      <c r="B37" s="107"/>
      <c r="C37" s="102"/>
      <c r="D37" s="102"/>
      <c r="E37" s="102"/>
      <c r="F37" s="102"/>
      <c r="G37" s="103"/>
      <c r="H37" s="103"/>
      <c r="I37" s="103"/>
      <c r="J37" s="103"/>
      <c r="K37" s="171"/>
      <c r="L37" s="172"/>
      <c r="M37" s="173"/>
      <c r="N37" s="174"/>
      <c r="O37" s="148"/>
      <c r="P37" s="149"/>
    </row>
    <row r="38" spans="2:17" ht="22.5" customHeight="1" thickBot="1" x14ac:dyDescent="0.35">
      <c r="B38" s="107"/>
      <c r="C38" s="150" t="s">
        <v>23</v>
      </c>
      <c r="D38" s="150"/>
      <c r="E38" s="151"/>
      <c r="F38" s="151"/>
      <c r="G38" s="152"/>
      <c r="H38" s="152"/>
      <c r="I38" s="152"/>
      <c r="J38" s="152"/>
      <c r="K38" s="165"/>
      <c r="L38" s="166"/>
      <c r="M38" s="175">
        <f>M14-M36</f>
        <v>32747.360000000001</v>
      </c>
      <c r="N38" s="175">
        <f>N14-N36</f>
        <v>1364.4733333333334</v>
      </c>
      <c r="O38" s="169"/>
      <c r="P38" s="170"/>
      <c r="Q38" s="241"/>
    </row>
    <row r="39" spans="2:17" ht="7.5" customHeight="1" x14ac:dyDescent="0.3">
      <c r="B39" s="107"/>
      <c r="C39" s="108"/>
      <c r="D39" s="108"/>
      <c r="E39" s="141"/>
      <c r="F39" s="141"/>
      <c r="G39" s="142"/>
      <c r="H39" s="142"/>
      <c r="I39" s="142"/>
      <c r="J39" s="142"/>
      <c r="K39" s="176"/>
      <c r="L39" s="144"/>
      <c r="M39" s="177"/>
      <c r="N39" s="178"/>
      <c r="O39" s="169"/>
      <c r="P39" s="170"/>
    </row>
    <row r="40" spans="2:17" s="99" customFormat="1" ht="22.5" customHeight="1" x14ac:dyDescent="0.3">
      <c r="B40" s="179"/>
      <c r="C40" s="180"/>
      <c r="D40" s="180"/>
      <c r="G40" s="100"/>
      <c r="H40" s="100"/>
      <c r="I40" s="100"/>
      <c r="J40" s="100"/>
      <c r="K40" s="181"/>
      <c r="L40" s="182"/>
      <c r="M40" s="183"/>
      <c r="N40" s="184"/>
      <c r="O40" s="185"/>
      <c r="P40" s="170"/>
    </row>
    <row r="41" spans="2:17" ht="7.5" customHeight="1" x14ac:dyDescent="0.3">
      <c r="B41" s="107"/>
      <c r="C41" s="141"/>
      <c r="D41" s="141"/>
      <c r="E41" s="141"/>
      <c r="F41" s="141"/>
      <c r="G41" s="142"/>
      <c r="H41" s="142"/>
      <c r="I41" s="142"/>
      <c r="J41" s="142"/>
      <c r="K41" s="176"/>
      <c r="L41" s="144"/>
      <c r="M41" s="186"/>
      <c r="N41" s="187"/>
      <c r="O41" s="148"/>
      <c r="P41" s="149"/>
    </row>
    <row r="42" spans="2:17" ht="22.5" customHeight="1" thickBot="1" x14ac:dyDescent="0.35">
      <c r="B42" s="107"/>
      <c r="C42" s="150" t="s">
        <v>24</v>
      </c>
      <c r="D42" s="150"/>
      <c r="E42" s="188"/>
      <c r="F42" s="141"/>
      <c r="G42" s="142"/>
      <c r="H42" s="142"/>
      <c r="I42" s="142"/>
      <c r="J42" s="142"/>
      <c r="K42" s="176"/>
      <c r="L42" s="144"/>
      <c r="M42" s="186"/>
      <c r="N42" s="187"/>
      <c r="O42" s="148"/>
      <c r="P42" s="149"/>
    </row>
    <row r="43" spans="2:17" ht="22.5" customHeight="1" x14ac:dyDescent="0.3">
      <c r="B43" s="107"/>
      <c r="C43" s="108" t="s">
        <v>3</v>
      </c>
      <c r="D43" s="108"/>
      <c r="E43" s="141"/>
      <c r="F43" s="141"/>
      <c r="G43" s="142"/>
      <c r="H43" s="142"/>
      <c r="I43" s="142"/>
      <c r="J43" s="142"/>
      <c r="K43" s="176"/>
      <c r="L43" s="144"/>
      <c r="M43" s="186"/>
      <c r="N43" s="187"/>
      <c r="O43" s="148"/>
      <c r="P43" s="149"/>
    </row>
    <row r="44" spans="2:17" ht="22.5" customHeight="1" x14ac:dyDescent="0.3">
      <c r="B44" s="107"/>
      <c r="C44" s="283" t="s">
        <v>143</v>
      </c>
      <c r="D44" s="284"/>
      <c r="E44" s="285"/>
      <c r="F44" s="141"/>
      <c r="G44" s="142"/>
      <c r="H44" s="142"/>
      <c r="I44" s="161"/>
      <c r="J44" s="142"/>
      <c r="K44" s="13">
        <f>'Capital Recovery, Cold Storage'!D15</f>
        <v>4527</v>
      </c>
      <c r="L44" s="144"/>
      <c r="M44" s="189">
        <f>K44</f>
        <v>4527</v>
      </c>
      <c r="N44" s="147">
        <f>M44/$N$5</f>
        <v>188.625</v>
      </c>
      <c r="O44" s="148"/>
      <c r="P44" s="149"/>
    </row>
    <row r="45" spans="2:17" ht="22.5" customHeight="1" x14ac:dyDescent="0.3">
      <c r="B45" s="107"/>
      <c r="C45" s="282" t="s">
        <v>32</v>
      </c>
      <c r="D45" s="282"/>
      <c r="E45" s="282"/>
      <c r="F45" s="141"/>
      <c r="G45" s="142"/>
      <c r="H45" s="142"/>
      <c r="I45" s="161"/>
      <c r="J45" s="163"/>
      <c r="K45" s="13">
        <v>0</v>
      </c>
      <c r="L45" s="144"/>
      <c r="M45" s="189">
        <f>K45</f>
        <v>0</v>
      </c>
      <c r="N45" s="147">
        <f>M45/$N$5</f>
        <v>0</v>
      </c>
      <c r="O45" s="148"/>
      <c r="P45" s="149"/>
    </row>
    <row r="46" spans="2:17" ht="22.5" customHeight="1" x14ac:dyDescent="0.3">
      <c r="B46" s="107"/>
      <c r="C46" s="282" t="s">
        <v>33</v>
      </c>
      <c r="D46" s="282"/>
      <c r="E46" s="282"/>
      <c r="F46" s="141"/>
      <c r="G46" s="142"/>
      <c r="H46" s="142"/>
      <c r="I46" s="161"/>
      <c r="J46" s="163"/>
      <c r="K46" s="13">
        <v>250</v>
      </c>
      <c r="L46" s="144"/>
      <c r="M46" s="189">
        <f>K46</f>
        <v>250</v>
      </c>
      <c r="N46" s="147">
        <f>M46/$N$5</f>
        <v>10.416666666666666</v>
      </c>
      <c r="O46" s="148"/>
      <c r="P46" s="149"/>
    </row>
    <row r="47" spans="2:17" ht="22.5" customHeight="1" thickBot="1" x14ac:dyDescent="0.35">
      <c r="B47" s="107"/>
      <c r="C47" s="150" t="s">
        <v>25</v>
      </c>
      <c r="D47" s="150"/>
      <c r="E47" s="151"/>
      <c r="F47" s="151"/>
      <c r="G47" s="152"/>
      <c r="H47" s="152"/>
      <c r="I47" s="152"/>
      <c r="J47" s="152"/>
      <c r="K47" s="152"/>
      <c r="L47" s="151"/>
      <c r="M47" s="167">
        <f>SUM(M45:M46)</f>
        <v>250</v>
      </c>
      <c r="N47" s="168">
        <f>M47/$N$5</f>
        <v>10.416666666666666</v>
      </c>
      <c r="O47" s="169"/>
      <c r="P47" s="170"/>
      <c r="Q47" s="241"/>
    </row>
    <row r="48" spans="2:17" ht="22.5" customHeight="1" x14ac:dyDescent="0.3">
      <c r="B48" s="107"/>
      <c r="C48" s="141"/>
      <c r="D48" s="141"/>
      <c r="E48" s="141"/>
      <c r="F48" s="141"/>
      <c r="G48" s="142"/>
      <c r="H48" s="142"/>
      <c r="I48" s="142"/>
      <c r="J48" s="142"/>
      <c r="K48" s="142"/>
      <c r="L48" s="141"/>
      <c r="M48" s="186"/>
      <c r="N48" s="190"/>
      <c r="O48" s="148"/>
      <c r="P48" s="149"/>
    </row>
    <row r="49" spans="2:17" ht="22.5" customHeight="1" thickBot="1" x14ac:dyDescent="0.35">
      <c r="B49" s="107"/>
      <c r="C49" s="150" t="s">
        <v>26</v>
      </c>
      <c r="D49" s="150"/>
      <c r="E49" s="151"/>
      <c r="F49" s="151"/>
      <c r="G49" s="152"/>
      <c r="H49" s="152"/>
      <c r="I49" s="152"/>
      <c r="J49" s="152"/>
      <c r="K49" s="152"/>
      <c r="L49" s="151"/>
      <c r="M49" s="175">
        <f>+M36+M47</f>
        <v>38062.639999999999</v>
      </c>
      <c r="N49" s="175">
        <f>+N36+N47</f>
        <v>1585.9433333333334</v>
      </c>
      <c r="O49" s="169"/>
      <c r="P49" s="170"/>
      <c r="Q49" s="241"/>
    </row>
    <row r="50" spans="2:17" ht="22.5" customHeight="1" x14ac:dyDescent="0.3">
      <c r="B50" s="107"/>
      <c r="C50" s="102"/>
      <c r="D50" s="102"/>
      <c r="E50" s="102"/>
      <c r="F50" s="102"/>
      <c r="G50" s="103"/>
      <c r="H50" s="103"/>
      <c r="I50" s="103"/>
      <c r="J50" s="103"/>
      <c r="K50" s="103"/>
      <c r="L50" s="102"/>
      <c r="M50" s="173"/>
      <c r="N50" s="174"/>
      <c r="O50" s="148"/>
      <c r="P50" s="149"/>
    </row>
    <row r="51" spans="2:17" ht="22.5" customHeight="1" thickBot="1" x14ac:dyDescent="0.35">
      <c r="B51" s="107"/>
      <c r="C51" s="150" t="s">
        <v>27</v>
      </c>
      <c r="D51" s="150"/>
      <c r="E51" s="151"/>
      <c r="F51" s="151"/>
      <c r="G51" s="152"/>
      <c r="H51" s="152"/>
      <c r="I51" s="152"/>
      <c r="J51" s="152"/>
      <c r="K51" s="152"/>
      <c r="L51" s="151"/>
      <c r="M51" s="175">
        <f>M14-M49</f>
        <v>32497.360000000001</v>
      </c>
      <c r="N51" s="175">
        <f>N14-N49</f>
        <v>1354.0566666666666</v>
      </c>
      <c r="O51" s="169"/>
      <c r="P51" s="170"/>
      <c r="Q51" s="241"/>
    </row>
    <row r="52" spans="2:17" ht="7.5" customHeight="1" thickBot="1" x14ac:dyDescent="0.35">
      <c r="B52" s="192"/>
      <c r="C52" s="151"/>
      <c r="D52" s="151"/>
      <c r="E52" s="151"/>
      <c r="F52" s="151"/>
      <c r="G52" s="152"/>
      <c r="H52" s="152"/>
      <c r="I52" s="152"/>
      <c r="J52" s="152"/>
      <c r="K52" s="152"/>
      <c r="L52" s="151"/>
      <c r="M52" s="151"/>
      <c r="N52" s="151"/>
      <c r="O52" s="193"/>
    </row>
    <row r="53" spans="2:17" s="99" customFormat="1" x14ac:dyDescent="0.3">
      <c r="G53" s="100"/>
      <c r="H53" s="100"/>
      <c r="I53" s="100"/>
      <c r="J53" s="100"/>
      <c r="K53" s="100"/>
    </row>
    <row r="54" spans="2:17" s="99" customFormat="1" x14ac:dyDescent="0.3">
      <c r="G54" s="100"/>
      <c r="H54" s="100"/>
      <c r="I54" s="100"/>
      <c r="J54" s="100"/>
      <c r="K54" s="100"/>
    </row>
    <row r="55" spans="2:17" s="99" customFormat="1" x14ac:dyDescent="0.3">
      <c r="G55" s="100"/>
      <c r="H55" s="100"/>
      <c r="I55" s="100"/>
      <c r="J55" s="100"/>
      <c r="K55" s="100"/>
    </row>
    <row r="56" spans="2:17" s="99" customFormat="1" x14ac:dyDescent="0.3">
      <c r="G56" s="100"/>
      <c r="H56" s="100"/>
      <c r="I56" s="100"/>
      <c r="J56" s="100"/>
      <c r="K56" s="100"/>
    </row>
    <row r="57" spans="2:17" s="99" customFormat="1" x14ac:dyDescent="0.3">
      <c r="G57" s="100"/>
      <c r="H57" s="100"/>
      <c r="I57" s="100"/>
      <c r="J57" s="100"/>
      <c r="K57" s="100"/>
    </row>
    <row r="58" spans="2:17" s="99" customFormat="1" x14ac:dyDescent="0.3">
      <c r="G58" s="100"/>
      <c r="H58" s="100"/>
      <c r="I58" s="100"/>
      <c r="J58" s="100"/>
      <c r="K58" s="100"/>
    </row>
    <row r="59" spans="2:17" s="99" customFormat="1" x14ac:dyDescent="0.3">
      <c r="G59" s="100"/>
      <c r="H59" s="100"/>
      <c r="I59" s="100"/>
      <c r="J59" s="100"/>
      <c r="K59" s="100"/>
    </row>
    <row r="60" spans="2:17" s="99" customFormat="1" x14ac:dyDescent="0.3">
      <c r="G60" s="100"/>
      <c r="H60" s="100"/>
      <c r="I60" s="100"/>
      <c r="J60" s="100"/>
      <c r="K60" s="100"/>
    </row>
    <row r="61" spans="2:17" s="99" customFormat="1" x14ac:dyDescent="0.3">
      <c r="G61" s="100"/>
      <c r="H61" s="100"/>
      <c r="I61" s="100"/>
      <c r="J61" s="100"/>
      <c r="K61" s="100"/>
    </row>
    <row r="62" spans="2:17" s="99" customFormat="1" x14ac:dyDescent="0.3">
      <c r="G62" s="100"/>
      <c r="H62" s="100"/>
      <c r="I62" s="100"/>
      <c r="J62" s="100"/>
      <c r="K62" s="100"/>
    </row>
    <row r="63" spans="2:17" s="99" customFormat="1" x14ac:dyDescent="0.3">
      <c r="G63" s="100"/>
      <c r="H63" s="100"/>
      <c r="I63" s="100"/>
      <c r="J63" s="100"/>
      <c r="K63" s="100"/>
    </row>
    <row r="64" spans="2:17" s="99" customFormat="1" x14ac:dyDescent="0.3">
      <c r="G64" s="100"/>
      <c r="H64" s="100"/>
      <c r="I64" s="100"/>
      <c r="J64" s="100"/>
      <c r="K64" s="100"/>
    </row>
    <row r="65" spans="7:11" s="99" customFormat="1" x14ac:dyDescent="0.3">
      <c r="G65" s="100"/>
      <c r="H65" s="100"/>
      <c r="I65" s="100"/>
      <c r="J65" s="100"/>
      <c r="K65" s="100"/>
    </row>
    <row r="66" spans="7:11" s="99" customFormat="1" x14ac:dyDescent="0.3">
      <c r="G66" s="100"/>
      <c r="H66" s="100"/>
      <c r="I66" s="100"/>
      <c r="J66" s="100"/>
      <c r="K66" s="100"/>
    </row>
    <row r="67" spans="7:11" s="99" customFormat="1" x14ac:dyDescent="0.3">
      <c r="G67" s="100"/>
      <c r="H67" s="100"/>
      <c r="I67" s="100"/>
      <c r="J67" s="100"/>
      <c r="K67" s="100"/>
    </row>
    <row r="68" spans="7:11" s="99" customFormat="1" x14ac:dyDescent="0.3">
      <c r="G68" s="100"/>
      <c r="H68" s="100"/>
      <c r="I68" s="100"/>
      <c r="J68" s="100"/>
      <c r="K68" s="100"/>
    </row>
    <row r="69" spans="7:11" s="99" customFormat="1" x14ac:dyDescent="0.3">
      <c r="G69" s="100"/>
      <c r="H69" s="100"/>
      <c r="I69" s="100"/>
      <c r="J69" s="100"/>
      <c r="K69" s="100"/>
    </row>
    <row r="70" spans="7:11" s="99" customFormat="1" x14ac:dyDescent="0.3">
      <c r="G70" s="100"/>
      <c r="H70" s="100"/>
      <c r="I70" s="100"/>
      <c r="J70" s="100"/>
      <c r="K70" s="100"/>
    </row>
    <row r="71" spans="7:11" s="99" customFormat="1" x14ac:dyDescent="0.3">
      <c r="G71" s="100"/>
      <c r="H71" s="100"/>
      <c r="I71" s="100"/>
      <c r="J71" s="100"/>
      <c r="K71" s="100"/>
    </row>
    <row r="72" spans="7:11" s="99" customFormat="1" x14ac:dyDescent="0.3">
      <c r="G72" s="100"/>
      <c r="H72" s="100"/>
      <c r="I72" s="100"/>
      <c r="J72" s="100"/>
      <c r="K72" s="100"/>
    </row>
    <row r="73" spans="7:11" s="99" customFormat="1" x14ac:dyDescent="0.3">
      <c r="G73" s="100"/>
      <c r="H73" s="100"/>
      <c r="I73" s="100"/>
      <c r="J73" s="100"/>
      <c r="K73" s="100"/>
    </row>
    <row r="74" spans="7:11" s="99" customFormat="1" x14ac:dyDescent="0.3">
      <c r="G74" s="100"/>
      <c r="H74" s="100"/>
      <c r="I74" s="100"/>
      <c r="J74" s="100"/>
      <c r="K74" s="100"/>
    </row>
    <row r="75" spans="7:11" s="99" customFormat="1" x14ac:dyDescent="0.3">
      <c r="G75" s="100"/>
      <c r="H75" s="100"/>
      <c r="I75" s="100"/>
      <c r="J75" s="100"/>
      <c r="K75" s="100"/>
    </row>
    <row r="76" spans="7:11" s="99" customFormat="1" x14ac:dyDescent="0.3">
      <c r="G76" s="100"/>
      <c r="H76" s="100"/>
      <c r="I76" s="100"/>
      <c r="J76" s="100"/>
      <c r="K76" s="100"/>
    </row>
    <row r="77" spans="7:11" s="99" customFormat="1" x14ac:dyDescent="0.3">
      <c r="G77" s="100"/>
      <c r="H77" s="100"/>
      <c r="I77" s="100"/>
      <c r="J77" s="100"/>
      <c r="K77" s="100"/>
    </row>
    <row r="78" spans="7:11" s="99" customFormat="1" x14ac:dyDescent="0.3">
      <c r="G78" s="100"/>
      <c r="H78" s="100"/>
      <c r="I78" s="100"/>
      <c r="J78" s="100"/>
      <c r="K78" s="100"/>
    </row>
    <row r="79" spans="7:11" s="99" customFormat="1" x14ac:dyDescent="0.3">
      <c r="G79" s="100"/>
      <c r="H79" s="100"/>
      <c r="I79" s="100"/>
      <c r="J79" s="100"/>
      <c r="K79" s="100"/>
    </row>
    <row r="80" spans="7:11" s="99" customFormat="1" x14ac:dyDescent="0.3">
      <c r="G80" s="100"/>
      <c r="H80" s="100"/>
      <c r="I80" s="100"/>
      <c r="J80" s="100"/>
      <c r="K80" s="100"/>
    </row>
    <row r="81" spans="7:11" s="99" customFormat="1" x14ac:dyDescent="0.3">
      <c r="G81" s="100"/>
      <c r="H81" s="100"/>
      <c r="I81" s="100"/>
      <c r="J81" s="100"/>
      <c r="K81" s="100"/>
    </row>
    <row r="82" spans="7:11" s="99" customFormat="1" x14ac:dyDescent="0.3">
      <c r="G82" s="100"/>
      <c r="H82" s="100"/>
      <c r="I82" s="100"/>
      <c r="J82" s="100"/>
      <c r="K82" s="100"/>
    </row>
    <row r="83" spans="7:11" s="99" customFormat="1" x14ac:dyDescent="0.3">
      <c r="G83" s="100"/>
      <c r="H83" s="100"/>
      <c r="I83" s="100"/>
      <c r="J83" s="100"/>
      <c r="K83" s="100"/>
    </row>
    <row r="84" spans="7:11" s="99" customFormat="1" x14ac:dyDescent="0.3">
      <c r="G84" s="100"/>
      <c r="H84" s="100"/>
      <c r="I84" s="100"/>
      <c r="J84" s="100"/>
      <c r="K84" s="100"/>
    </row>
    <row r="85" spans="7:11" s="99" customFormat="1" x14ac:dyDescent="0.3">
      <c r="G85" s="100"/>
      <c r="H85" s="100"/>
      <c r="I85" s="100"/>
      <c r="J85" s="100"/>
      <c r="K85" s="100"/>
    </row>
    <row r="86" spans="7:11" s="99" customFormat="1" x14ac:dyDescent="0.3">
      <c r="G86" s="100"/>
      <c r="H86" s="100"/>
      <c r="I86" s="100"/>
      <c r="J86" s="100"/>
      <c r="K86" s="100"/>
    </row>
    <row r="87" spans="7:11" s="99" customFormat="1" x14ac:dyDescent="0.3">
      <c r="G87" s="100"/>
      <c r="H87" s="100"/>
      <c r="I87" s="100"/>
      <c r="J87" s="100"/>
      <c r="K87" s="100"/>
    </row>
    <row r="88" spans="7:11" s="99" customFormat="1" x14ac:dyDescent="0.3">
      <c r="G88" s="100"/>
      <c r="H88" s="100"/>
      <c r="I88" s="100"/>
      <c r="J88" s="100"/>
      <c r="K88" s="100"/>
    </row>
    <row r="89" spans="7:11" s="99" customFormat="1" x14ac:dyDescent="0.3">
      <c r="G89" s="100"/>
      <c r="H89" s="100"/>
      <c r="I89" s="100"/>
      <c r="J89" s="100"/>
      <c r="K89" s="100"/>
    </row>
    <row r="90" spans="7:11" s="99" customFormat="1" x14ac:dyDescent="0.3">
      <c r="G90" s="100"/>
      <c r="H90" s="100"/>
      <c r="I90" s="100"/>
      <c r="J90" s="100"/>
      <c r="K90" s="100"/>
    </row>
    <row r="91" spans="7:11" s="99" customFormat="1" x14ac:dyDescent="0.3">
      <c r="G91" s="100"/>
      <c r="H91" s="100"/>
      <c r="I91" s="100"/>
      <c r="J91" s="100"/>
      <c r="K91" s="100"/>
    </row>
    <row r="92" spans="7:11" s="99" customFormat="1" x14ac:dyDescent="0.3">
      <c r="G92" s="100"/>
      <c r="H92" s="100"/>
      <c r="I92" s="100"/>
      <c r="J92" s="100"/>
      <c r="K92" s="100"/>
    </row>
    <row r="93" spans="7:11" s="99" customFormat="1" x14ac:dyDescent="0.3">
      <c r="G93" s="100"/>
      <c r="H93" s="100"/>
      <c r="I93" s="100"/>
      <c r="J93" s="100"/>
      <c r="K93" s="100"/>
    </row>
    <row r="94" spans="7:11" s="99" customFormat="1" x14ac:dyDescent="0.3">
      <c r="G94" s="100"/>
      <c r="H94" s="100"/>
      <c r="I94" s="100"/>
      <c r="J94" s="100"/>
      <c r="K94" s="100"/>
    </row>
    <row r="95" spans="7:11" s="99" customFormat="1" x14ac:dyDescent="0.3">
      <c r="G95" s="100"/>
      <c r="H95" s="100"/>
      <c r="I95" s="100"/>
      <c r="J95" s="100"/>
      <c r="K95" s="100"/>
    </row>
    <row r="96" spans="7:11" s="99" customFormat="1" x14ac:dyDescent="0.3">
      <c r="G96" s="100"/>
      <c r="H96" s="100"/>
      <c r="I96" s="100"/>
      <c r="J96" s="100"/>
      <c r="K96" s="100"/>
    </row>
    <row r="97" spans="7:11" s="99" customFormat="1" x14ac:dyDescent="0.3">
      <c r="G97" s="100"/>
      <c r="H97" s="100"/>
      <c r="I97" s="100"/>
      <c r="J97" s="100"/>
      <c r="K97" s="100"/>
    </row>
    <row r="98" spans="7:11" s="99" customFormat="1" x14ac:dyDescent="0.3">
      <c r="G98" s="100"/>
      <c r="H98" s="100"/>
      <c r="I98" s="100"/>
      <c r="J98" s="100"/>
      <c r="K98" s="100"/>
    </row>
    <row r="99" spans="7:11" s="99" customFormat="1" x14ac:dyDescent="0.3">
      <c r="G99" s="100"/>
      <c r="H99" s="100"/>
      <c r="I99" s="100"/>
      <c r="J99" s="100"/>
      <c r="K99" s="100"/>
    </row>
    <row r="100" spans="7:11" s="99" customFormat="1" x14ac:dyDescent="0.3">
      <c r="G100" s="100"/>
      <c r="H100" s="100"/>
      <c r="I100" s="100"/>
      <c r="J100" s="100"/>
      <c r="K100" s="100"/>
    </row>
    <row r="101" spans="7:11" s="99" customFormat="1" x14ac:dyDescent="0.3">
      <c r="G101" s="100"/>
      <c r="H101" s="100"/>
      <c r="I101" s="100"/>
      <c r="J101" s="100"/>
      <c r="K101" s="100"/>
    </row>
  </sheetData>
  <mergeCells count="29">
    <mergeCell ref="C22:E22"/>
    <mergeCell ref="C21:E21"/>
    <mergeCell ref="C3:K3"/>
    <mergeCell ref="Q3:T3"/>
    <mergeCell ref="Q4:T8"/>
    <mergeCell ref="C5:K5"/>
    <mergeCell ref="C6:G6"/>
    <mergeCell ref="Q10:R10"/>
    <mergeCell ref="C17:E17"/>
    <mergeCell ref="C18:E18"/>
    <mergeCell ref="Q18:R18"/>
    <mergeCell ref="C19:E19"/>
    <mergeCell ref="C20:E20"/>
    <mergeCell ref="Q11:R11"/>
    <mergeCell ref="C23:E23"/>
    <mergeCell ref="C24:E24"/>
    <mergeCell ref="C25:E25"/>
    <mergeCell ref="C26:E26"/>
    <mergeCell ref="C27:E27"/>
    <mergeCell ref="C45:E45"/>
    <mergeCell ref="C46:E46"/>
    <mergeCell ref="C28:E28"/>
    <mergeCell ref="C29:E29"/>
    <mergeCell ref="C30:E30"/>
    <mergeCell ref="C31:E31"/>
    <mergeCell ref="C33:E33"/>
    <mergeCell ref="C35:E35"/>
    <mergeCell ref="C32:E32"/>
    <mergeCell ref="C44:E44"/>
  </mergeCells>
  <pageMargins left="0.7" right="0.7" top="0.75" bottom="0.75" header="0.3" footer="0.3"/>
  <pageSetup scale="60"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5FA8-18A9-4817-B36A-705A8F16C78B}">
  <dimension ref="A1:AB95"/>
  <sheetViews>
    <sheetView tabSelected="1" workbookViewId="0">
      <selection activeCell="Q30" sqref="Q30"/>
    </sheetView>
  </sheetViews>
  <sheetFormatPr defaultColWidth="9" defaultRowHeight="17.399999999999999" x14ac:dyDescent="0.3"/>
  <cols>
    <col min="1" max="1" width="2.5" style="99" customWidth="1"/>
    <col min="2" max="2" width="1.19921875" style="105" customWidth="1"/>
    <col min="3" max="3" width="31.3984375" style="105" customWidth="1"/>
    <col min="4" max="4" width="1.19921875" style="105" customWidth="1"/>
    <col min="5" max="5" width="19.8984375" style="105" customWidth="1"/>
    <col min="6" max="6" width="1.19921875" style="105" customWidth="1"/>
    <col min="7" max="7" width="12.5" style="194" customWidth="1"/>
    <col min="8" max="8" width="1.19921875" style="194" customWidth="1"/>
    <col min="9" max="9" width="16.5" style="194" customWidth="1"/>
    <col min="10" max="10" width="1.19921875" style="194" customWidth="1"/>
    <col min="11" max="11" width="12.5" style="194" customWidth="1"/>
    <col min="12" max="12" width="1.19921875" style="105" customWidth="1"/>
    <col min="13" max="14" width="17.5" style="105" customWidth="1"/>
    <col min="15" max="15" width="1.8984375" style="105" customWidth="1"/>
    <col min="16" max="16" width="1.8984375" style="99" customWidth="1"/>
    <col min="17" max="17" width="12.19921875" style="99" bestFit="1" customWidth="1"/>
    <col min="18" max="18" width="22" style="99" customWidth="1"/>
    <col min="19" max="28" width="9" style="99"/>
    <col min="29" max="16384" width="9" style="105"/>
  </cols>
  <sheetData>
    <row r="1" spans="2:20" s="99" customFormat="1" ht="15" customHeight="1" thickBot="1" x14ac:dyDescent="0.35">
      <c r="G1" s="100"/>
      <c r="H1" s="100"/>
      <c r="I1" s="100"/>
      <c r="J1" s="100"/>
      <c r="K1" s="100"/>
    </row>
    <row r="2" spans="2:20" ht="7.5" customHeight="1" x14ac:dyDescent="0.3">
      <c r="B2" s="101"/>
      <c r="C2" s="102"/>
      <c r="D2" s="102"/>
      <c r="E2" s="102"/>
      <c r="F2" s="102"/>
      <c r="G2" s="103"/>
      <c r="H2" s="103"/>
      <c r="I2" s="103"/>
      <c r="J2" s="103"/>
      <c r="K2" s="103"/>
      <c r="L2" s="102"/>
      <c r="M2" s="102"/>
      <c r="N2" s="102"/>
      <c r="O2" s="104"/>
      <c r="Q2" s="105"/>
      <c r="R2" s="106"/>
      <c r="S2" s="106"/>
      <c r="T2" s="106"/>
    </row>
    <row r="3" spans="2:20" ht="30" customHeight="1" thickBot="1" x14ac:dyDescent="0.35">
      <c r="B3" s="107"/>
      <c r="C3" s="289" t="s">
        <v>128</v>
      </c>
      <c r="D3" s="289"/>
      <c r="E3" s="289"/>
      <c r="F3" s="289"/>
      <c r="G3" s="289"/>
      <c r="H3" s="289"/>
      <c r="I3" s="289"/>
      <c r="J3" s="289"/>
      <c r="K3" s="289"/>
      <c r="L3" s="108"/>
      <c r="M3" s="109" t="s">
        <v>50</v>
      </c>
      <c r="N3" s="110">
        <v>2020</v>
      </c>
      <c r="O3" s="111"/>
      <c r="Q3" s="290" t="s">
        <v>53</v>
      </c>
      <c r="R3" s="290"/>
      <c r="S3" s="290"/>
      <c r="T3" s="290"/>
    </row>
    <row r="4" spans="2:20" ht="7.5" customHeight="1" x14ac:dyDescent="0.3">
      <c r="B4" s="107"/>
      <c r="C4" s="256"/>
      <c r="D4" s="256"/>
      <c r="E4" s="256"/>
      <c r="F4" s="256"/>
      <c r="G4" s="256"/>
      <c r="H4" s="256"/>
      <c r="I4" s="256"/>
      <c r="J4" s="256"/>
      <c r="K4" s="256"/>
      <c r="L4" s="108"/>
      <c r="M4" s="109"/>
      <c r="N4" s="113"/>
      <c r="O4" s="111"/>
      <c r="Q4" s="291" t="s">
        <v>125</v>
      </c>
      <c r="R4" s="292"/>
      <c r="S4" s="292"/>
      <c r="T4" s="293"/>
    </row>
    <row r="5" spans="2:20" ht="30" customHeight="1" x14ac:dyDescent="0.3">
      <c r="B5" s="114"/>
      <c r="C5" s="300" t="s">
        <v>145</v>
      </c>
      <c r="D5" s="301"/>
      <c r="E5" s="301"/>
      <c r="F5" s="301"/>
      <c r="G5" s="301"/>
      <c r="H5" s="301"/>
      <c r="I5" s="301"/>
      <c r="J5" s="301"/>
      <c r="K5" s="302"/>
      <c r="L5" s="108"/>
      <c r="M5" s="109" t="s">
        <v>110</v>
      </c>
      <c r="N5" s="110">
        <v>24</v>
      </c>
      <c r="O5" s="115"/>
      <c r="P5" s="116"/>
      <c r="Q5" s="294"/>
      <c r="R5" s="295"/>
      <c r="S5" s="295"/>
      <c r="T5" s="296"/>
    </row>
    <row r="6" spans="2:20" ht="7.5" customHeight="1" x14ac:dyDescent="0.3">
      <c r="B6" s="117"/>
      <c r="C6" s="303"/>
      <c r="D6" s="303"/>
      <c r="E6" s="304"/>
      <c r="F6" s="304"/>
      <c r="G6" s="304"/>
      <c r="H6" s="257"/>
      <c r="I6" s="119"/>
      <c r="J6" s="119"/>
      <c r="K6" s="119"/>
      <c r="L6" s="257"/>
      <c r="M6" s="257"/>
      <c r="N6" s="257"/>
      <c r="O6" s="120"/>
      <c r="Q6" s="294"/>
      <c r="R6" s="295"/>
      <c r="S6" s="295"/>
      <c r="T6" s="296"/>
    </row>
    <row r="7" spans="2:20" ht="22.5" customHeight="1" x14ac:dyDescent="0.3">
      <c r="B7" s="107"/>
      <c r="C7" s="121"/>
      <c r="D7" s="121"/>
      <c r="E7" s="122"/>
      <c r="F7" s="122"/>
      <c r="G7" s="123"/>
      <c r="H7" s="123"/>
      <c r="I7" s="121" t="s">
        <v>9</v>
      </c>
      <c r="J7" s="121"/>
      <c r="K7" s="124"/>
      <c r="L7" s="124"/>
      <c r="M7" s="125"/>
      <c r="N7" s="240" t="s">
        <v>120</v>
      </c>
      <c r="O7" s="127"/>
      <c r="P7" s="128"/>
      <c r="Q7" s="294"/>
      <c r="R7" s="295"/>
      <c r="S7" s="295"/>
      <c r="T7" s="296"/>
    </row>
    <row r="8" spans="2:20" ht="22.5" customHeight="1" thickBot="1" x14ac:dyDescent="0.35">
      <c r="B8" s="107"/>
      <c r="C8" s="129"/>
      <c r="D8" s="129"/>
      <c r="E8" s="130" t="s">
        <v>8</v>
      </c>
      <c r="F8" s="130"/>
      <c r="G8" s="130"/>
      <c r="H8" s="130"/>
      <c r="I8" s="130" t="s">
        <v>7</v>
      </c>
      <c r="J8" s="130"/>
      <c r="K8" s="130" t="s">
        <v>2</v>
      </c>
      <c r="L8" s="130"/>
      <c r="M8" s="131" t="s">
        <v>11</v>
      </c>
      <c r="N8" s="131" t="s">
        <v>1</v>
      </c>
      <c r="O8" s="132"/>
      <c r="P8" s="133"/>
      <c r="Q8" s="297"/>
      <c r="R8" s="298"/>
      <c r="S8" s="298"/>
      <c r="T8" s="299"/>
    </row>
    <row r="9" spans="2:20" ht="22.5" customHeight="1" thickBot="1" x14ac:dyDescent="0.35">
      <c r="B9" s="107"/>
      <c r="C9" s="134"/>
      <c r="D9" s="134"/>
      <c r="E9" s="135" t="s">
        <v>6</v>
      </c>
      <c r="F9" s="135"/>
      <c r="G9" s="136" t="s">
        <v>0</v>
      </c>
      <c r="H9" s="136"/>
      <c r="I9" s="136" t="s">
        <v>10</v>
      </c>
      <c r="J9" s="136"/>
      <c r="K9" s="136" t="s">
        <v>5</v>
      </c>
      <c r="L9" s="136"/>
      <c r="M9" s="137" t="s">
        <v>12</v>
      </c>
      <c r="N9" s="137" t="s">
        <v>4</v>
      </c>
      <c r="O9" s="132"/>
      <c r="P9" s="133"/>
      <c r="Q9" s="138"/>
      <c r="R9" s="138"/>
    </row>
    <row r="10" spans="2:20" ht="22.5" customHeight="1" thickBot="1" x14ac:dyDescent="0.35">
      <c r="B10" s="107"/>
      <c r="C10" s="139" t="s">
        <v>20</v>
      </c>
      <c r="D10" s="140"/>
      <c r="E10" s="141"/>
      <c r="F10" s="141"/>
      <c r="G10" s="142"/>
      <c r="H10" s="142"/>
      <c r="I10" s="142"/>
      <c r="J10" s="142"/>
      <c r="K10" s="142"/>
      <c r="L10" s="141"/>
      <c r="M10" s="143"/>
      <c r="N10" s="143"/>
      <c r="O10" s="111"/>
      <c r="Q10" s="305"/>
      <c r="R10" s="305"/>
    </row>
    <row r="11" spans="2:20" ht="22.5" customHeight="1" x14ac:dyDescent="0.3">
      <c r="B11" s="107"/>
      <c r="C11" s="1" t="s">
        <v>98</v>
      </c>
      <c r="D11" s="141"/>
      <c r="E11" s="2">
        <v>800</v>
      </c>
      <c r="F11" s="144"/>
      <c r="G11" s="3" t="s">
        <v>13</v>
      </c>
      <c r="H11" s="142"/>
      <c r="I11" s="3">
        <f>N5</f>
        <v>24</v>
      </c>
      <c r="J11" s="142"/>
      <c r="K11" s="98">
        <v>-1.5</v>
      </c>
      <c r="L11" s="145"/>
      <c r="M11" s="146">
        <f>E11*I11*K11</f>
        <v>-28800</v>
      </c>
      <c r="N11" s="147">
        <f>M11/I11</f>
        <v>-1200</v>
      </c>
      <c r="O11" s="148"/>
      <c r="P11" s="149"/>
      <c r="Q11" s="309" t="s">
        <v>47</v>
      </c>
      <c r="R11" s="310"/>
    </row>
    <row r="12" spans="2:20" ht="22.5" customHeight="1" x14ac:dyDescent="0.3">
      <c r="B12" s="107"/>
      <c r="C12" s="5" t="s">
        <v>144</v>
      </c>
      <c r="D12" s="141"/>
      <c r="E12" s="2">
        <f>1150*0.55</f>
        <v>632.5</v>
      </c>
      <c r="F12" s="144"/>
      <c r="G12" s="3" t="s">
        <v>13</v>
      </c>
      <c r="H12" s="142"/>
      <c r="I12" s="3">
        <f>N5</f>
        <v>24</v>
      </c>
      <c r="J12" s="142"/>
      <c r="K12" s="98">
        <v>3.5</v>
      </c>
      <c r="L12" s="145"/>
      <c r="M12" s="146">
        <f>E12*I12*K12</f>
        <v>53130</v>
      </c>
      <c r="N12" s="147">
        <f>M12/N5</f>
        <v>2213.75</v>
      </c>
      <c r="O12" s="148"/>
      <c r="P12" s="149"/>
      <c r="Q12" s="96">
        <v>1150</v>
      </c>
      <c r="R12" s="58" t="s">
        <v>94</v>
      </c>
    </row>
    <row r="13" spans="2:20" ht="22.5" customHeight="1" x14ac:dyDescent="0.3">
      <c r="B13" s="107"/>
      <c r="C13" s="5"/>
      <c r="D13" s="141"/>
      <c r="E13" s="2"/>
      <c r="F13" s="144"/>
      <c r="G13" s="3"/>
      <c r="H13" s="142"/>
      <c r="I13" s="3"/>
      <c r="J13" s="142"/>
      <c r="K13" s="4"/>
      <c r="L13" s="145"/>
      <c r="M13" s="146">
        <f>E13*I13*K13</f>
        <v>0</v>
      </c>
      <c r="N13" s="147">
        <f>M13/$N$5</f>
        <v>0</v>
      </c>
      <c r="O13" s="148"/>
      <c r="P13" s="149"/>
      <c r="Q13" s="262">
        <v>0.55000000000000004</v>
      </c>
      <c r="R13" s="58" t="s">
        <v>121</v>
      </c>
    </row>
    <row r="14" spans="2:20" ht="22.5" customHeight="1" thickBot="1" x14ac:dyDescent="0.35">
      <c r="B14" s="107"/>
      <c r="C14" s="150" t="s">
        <v>19</v>
      </c>
      <c r="D14" s="150"/>
      <c r="E14" s="151"/>
      <c r="F14" s="151"/>
      <c r="G14" s="152"/>
      <c r="H14" s="152"/>
      <c r="I14" s="152"/>
      <c r="J14" s="152"/>
      <c r="K14" s="152"/>
      <c r="L14" s="151"/>
      <c r="M14" s="153">
        <f>SUM(M11:M13)</f>
        <v>24330</v>
      </c>
      <c r="N14" s="153">
        <f>SUM(N11:N13)</f>
        <v>1013.75</v>
      </c>
      <c r="O14" s="155"/>
      <c r="P14" s="156"/>
      <c r="Q14" s="56"/>
      <c r="R14" s="59" t="s">
        <v>122</v>
      </c>
    </row>
    <row r="15" spans="2:20" ht="22.5" customHeight="1" thickBot="1" x14ac:dyDescent="0.35">
      <c r="B15" s="107"/>
      <c r="C15" s="141"/>
      <c r="D15" s="141"/>
      <c r="E15" s="141"/>
      <c r="F15" s="141"/>
      <c r="G15" s="142"/>
      <c r="H15" s="142"/>
      <c r="I15" s="142"/>
      <c r="J15" s="142"/>
      <c r="K15" s="142"/>
      <c r="L15" s="141"/>
      <c r="M15" s="157"/>
      <c r="N15" s="158"/>
      <c r="O15" s="148"/>
      <c r="P15" s="149"/>
      <c r="Q15" s="56">
        <v>0.01</v>
      </c>
      <c r="R15" s="59" t="s">
        <v>113</v>
      </c>
    </row>
    <row r="16" spans="2:20" ht="22.5" customHeight="1" thickBot="1" x14ac:dyDescent="0.35">
      <c r="B16" s="107"/>
      <c r="C16" s="150" t="s">
        <v>21</v>
      </c>
      <c r="D16" s="150"/>
      <c r="E16" s="151"/>
      <c r="F16" s="141"/>
      <c r="G16" s="142"/>
      <c r="H16" s="142"/>
      <c r="I16" s="142"/>
      <c r="J16" s="142"/>
      <c r="K16" s="142"/>
      <c r="L16" s="141"/>
      <c r="M16" s="159"/>
      <c r="N16" s="158"/>
      <c r="O16" s="148"/>
      <c r="P16" s="149"/>
    </row>
    <row r="17" spans="2:18" ht="22.5" customHeight="1" x14ac:dyDescent="0.3">
      <c r="B17" s="107"/>
      <c r="C17" s="306" t="s">
        <v>140</v>
      </c>
      <c r="D17" s="306"/>
      <c r="E17" s="306"/>
      <c r="F17" s="141"/>
      <c r="G17" s="3" t="s">
        <v>14</v>
      </c>
      <c r="H17" s="142"/>
      <c r="I17" s="6">
        <f>($N$5*120*24)/2000</f>
        <v>34.56</v>
      </c>
      <c r="J17" s="142"/>
      <c r="K17" s="7">
        <v>160</v>
      </c>
      <c r="L17" s="144"/>
      <c r="M17" s="146">
        <f>I17*K17</f>
        <v>5529.6</v>
      </c>
      <c r="N17" s="147">
        <f>M17/$N$5</f>
        <v>230.4</v>
      </c>
      <c r="O17" s="148"/>
      <c r="P17" s="149"/>
    </row>
    <row r="18" spans="2:18" ht="22.5" customHeight="1" x14ac:dyDescent="0.3">
      <c r="B18" s="107"/>
      <c r="C18" s="287" t="s">
        <v>138</v>
      </c>
      <c r="D18" s="287"/>
      <c r="E18" s="287"/>
      <c r="F18" s="141"/>
      <c r="G18" s="3" t="s">
        <v>15</v>
      </c>
      <c r="H18" s="142"/>
      <c r="I18" s="6">
        <f>4*$N$5</f>
        <v>96</v>
      </c>
      <c r="J18" s="142"/>
      <c r="K18" s="7">
        <v>25</v>
      </c>
      <c r="L18" s="144"/>
      <c r="M18" s="146">
        <f t="shared" ref="M18:M26" si="0">I18*K18</f>
        <v>2400</v>
      </c>
      <c r="N18" s="147">
        <f t="shared" ref="N18:N31" si="1">M18/$N$5</f>
        <v>100</v>
      </c>
      <c r="O18" s="148"/>
      <c r="P18" s="149"/>
      <c r="Q18" s="307"/>
      <c r="R18" s="307"/>
    </row>
    <row r="19" spans="2:18" ht="22.5" customHeight="1" x14ac:dyDescent="0.3">
      <c r="B19" s="107"/>
      <c r="C19" s="287" t="s">
        <v>28</v>
      </c>
      <c r="D19" s="287"/>
      <c r="E19" s="287"/>
      <c r="F19" s="141"/>
      <c r="G19" s="3" t="s">
        <v>16</v>
      </c>
      <c r="H19" s="142"/>
      <c r="I19" s="6">
        <f>N5</f>
        <v>24</v>
      </c>
      <c r="J19" s="142"/>
      <c r="K19" s="7">
        <f>24*(8/12)</f>
        <v>16</v>
      </c>
      <c r="L19" s="144"/>
      <c r="M19" s="146">
        <f t="shared" si="0"/>
        <v>384</v>
      </c>
      <c r="N19" s="147">
        <f t="shared" si="1"/>
        <v>16</v>
      </c>
      <c r="O19" s="148"/>
      <c r="P19" s="149"/>
    </row>
    <row r="20" spans="2:18" ht="22.5" customHeight="1" x14ac:dyDescent="0.3">
      <c r="B20" s="107"/>
      <c r="C20" s="287" t="s">
        <v>93</v>
      </c>
      <c r="D20" s="287"/>
      <c r="E20" s="287"/>
      <c r="F20" s="141"/>
      <c r="G20" s="3" t="s">
        <v>17</v>
      </c>
      <c r="H20" s="142"/>
      <c r="I20" s="6">
        <v>1</v>
      </c>
      <c r="J20" s="142"/>
      <c r="K20" s="7">
        <f>10*$N$5</f>
        <v>240</v>
      </c>
      <c r="L20" s="144"/>
      <c r="M20" s="146">
        <f t="shared" si="0"/>
        <v>240</v>
      </c>
      <c r="N20" s="147">
        <f t="shared" si="1"/>
        <v>10</v>
      </c>
      <c r="O20" s="148"/>
      <c r="P20" s="149"/>
    </row>
    <row r="21" spans="2:18" ht="22.5" customHeight="1" x14ac:dyDescent="0.3">
      <c r="B21" s="107"/>
      <c r="C21" s="283" t="s">
        <v>111</v>
      </c>
      <c r="D21" s="284"/>
      <c r="E21" s="285"/>
      <c r="F21" s="141"/>
      <c r="G21" s="3" t="s">
        <v>112</v>
      </c>
      <c r="H21" s="142"/>
      <c r="I21" s="235">
        <v>0.01</v>
      </c>
      <c r="J21" s="142"/>
      <c r="K21" s="7">
        <f>-(M11)</f>
        <v>28800</v>
      </c>
      <c r="L21" s="144"/>
      <c r="M21" s="146">
        <f t="shared" si="0"/>
        <v>288</v>
      </c>
      <c r="N21" s="147">
        <f t="shared" si="1"/>
        <v>12</v>
      </c>
      <c r="O21" s="148"/>
      <c r="P21" s="149"/>
    </row>
    <row r="22" spans="2:18" ht="22.5" customHeight="1" x14ac:dyDescent="0.3">
      <c r="B22" s="107"/>
      <c r="C22" s="287" t="s">
        <v>54</v>
      </c>
      <c r="D22" s="287"/>
      <c r="E22" s="287"/>
      <c r="F22" s="141"/>
      <c r="G22" s="3" t="s">
        <v>16</v>
      </c>
      <c r="H22" s="142"/>
      <c r="I22" s="6">
        <f>$N$5</f>
        <v>24</v>
      </c>
      <c r="J22" s="142"/>
      <c r="K22" s="7">
        <v>8</v>
      </c>
      <c r="L22" s="144"/>
      <c r="M22" s="146">
        <f t="shared" si="0"/>
        <v>192</v>
      </c>
      <c r="N22" s="147">
        <f t="shared" si="1"/>
        <v>8</v>
      </c>
      <c r="O22" s="148"/>
      <c r="P22" s="149"/>
    </row>
    <row r="23" spans="2:18" ht="22.5" customHeight="1" x14ac:dyDescent="0.3">
      <c r="B23" s="107"/>
      <c r="C23" s="287" t="s">
        <v>55</v>
      </c>
      <c r="D23" s="287"/>
      <c r="E23" s="287"/>
      <c r="F23" s="141"/>
      <c r="G23" s="3" t="s">
        <v>16</v>
      </c>
      <c r="H23" s="142"/>
      <c r="I23" s="6">
        <f>$N$5</f>
        <v>24</v>
      </c>
      <c r="J23" s="142"/>
      <c r="K23" s="7">
        <v>10</v>
      </c>
      <c r="L23" s="144"/>
      <c r="M23" s="146">
        <f t="shared" si="0"/>
        <v>240</v>
      </c>
      <c r="N23" s="147">
        <f t="shared" si="1"/>
        <v>10</v>
      </c>
      <c r="O23" s="148"/>
      <c r="P23" s="149"/>
    </row>
    <row r="24" spans="2:18" ht="22.5" customHeight="1" x14ac:dyDescent="0.3">
      <c r="B24" s="107"/>
      <c r="C24" s="287" t="s">
        <v>30</v>
      </c>
      <c r="D24" s="287"/>
      <c r="E24" s="287"/>
      <c r="F24" s="141"/>
      <c r="G24" s="3" t="s">
        <v>18</v>
      </c>
      <c r="H24" s="142"/>
      <c r="I24" s="6">
        <v>0</v>
      </c>
      <c r="J24" s="142"/>
      <c r="K24" s="7">
        <v>13.82</v>
      </c>
      <c r="L24" s="144"/>
      <c r="M24" s="146">
        <f t="shared" si="0"/>
        <v>0</v>
      </c>
      <c r="N24" s="147">
        <f t="shared" si="1"/>
        <v>0</v>
      </c>
      <c r="O24" s="148"/>
      <c r="P24" s="149"/>
    </row>
    <row r="25" spans="2:18" ht="22.5" customHeight="1" x14ac:dyDescent="0.3">
      <c r="B25" s="107"/>
      <c r="C25" s="287" t="s">
        <v>45</v>
      </c>
      <c r="D25" s="287"/>
      <c r="E25" s="287"/>
      <c r="F25" s="141"/>
      <c r="G25" s="3" t="s">
        <v>18</v>
      </c>
      <c r="H25" s="142"/>
      <c r="I25" s="6">
        <f>8*30</f>
        <v>240</v>
      </c>
      <c r="J25" s="142"/>
      <c r="K25" s="7">
        <v>25</v>
      </c>
      <c r="L25" s="144"/>
      <c r="M25" s="146">
        <f t="shared" si="0"/>
        <v>6000</v>
      </c>
      <c r="N25" s="147">
        <f t="shared" si="1"/>
        <v>250</v>
      </c>
      <c r="O25" s="148"/>
      <c r="P25" s="149"/>
    </row>
    <row r="26" spans="2:18" ht="22.5" customHeight="1" x14ac:dyDescent="0.3">
      <c r="B26" s="107"/>
      <c r="C26" s="287" t="s">
        <v>114</v>
      </c>
      <c r="D26" s="287"/>
      <c r="E26" s="287"/>
      <c r="F26" s="141"/>
      <c r="G26" s="3" t="s">
        <v>16</v>
      </c>
      <c r="H26" s="142"/>
      <c r="I26" s="6">
        <f>$N$5</f>
        <v>24</v>
      </c>
      <c r="J26" s="142"/>
      <c r="K26" s="7">
        <v>2.71</v>
      </c>
      <c r="L26" s="144"/>
      <c r="M26" s="146">
        <f t="shared" si="0"/>
        <v>65.039999999999992</v>
      </c>
      <c r="N26" s="147">
        <f t="shared" si="1"/>
        <v>2.7099999999999995</v>
      </c>
      <c r="O26" s="148"/>
      <c r="P26" s="149"/>
    </row>
    <row r="27" spans="2:18" ht="22.5" customHeight="1" x14ac:dyDescent="0.3">
      <c r="B27" s="107"/>
      <c r="C27" s="282" t="s">
        <v>42</v>
      </c>
      <c r="D27" s="282"/>
      <c r="E27" s="282"/>
      <c r="F27" s="141"/>
      <c r="G27" s="142"/>
      <c r="H27" s="142"/>
      <c r="I27" s="161"/>
      <c r="J27" s="142"/>
      <c r="K27" s="10">
        <v>1200</v>
      </c>
      <c r="L27" s="144"/>
      <c r="M27" s="146">
        <f>K27</f>
        <v>1200</v>
      </c>
      <c r="N27" s="147">
        <f t="shared" si="1"/>
        <v>50</v>
      </c>
      <c r="O27" s="148"/>
      <c r="P27" s="149"/>
    </row>
    <row r="28" spans="2:18" ht="22.5" customHeight="1" x14ac:dyDescent="0.3">
      <c r="B28" s="107"/>
      <c r="C28" s="282" t="s">
        <v>43</v>
      </c>
      <c r="D28" s="282"/>
      <c r="E28" s="282"/>
      <c r="F28" s="141"/>
      <c r="G28" s="142"/>
      <c r="H28" s="142"/>
      <c r="I28" s="161"/>
      <c r="J28" s="142"/>
      <c r="K28" s="7">
        <v>500</v>
      </c>
      <c r="L28" s="144"/>
      <c r="M28" s="146">
        <f>K28</f>
        <v>500</v>
      </c>
      <c r="N28" s="147">
        <f t="shared" si="1"/>
        <v>20.833333333333332</v>
      </c>
      <c r="O28" s="148"/>
      <c r="P28" s="149"/>
    </row>
    <row r="29" spans="2:18" ht="22.5" customHeight="1" x14ac:dyDescent="0.3">
      <c r="B29" s="107"/>
      <c r="C29" s="282" t="s">
        <v>44</v>
      </c>
      <c r="D29" s="282"/>
      <c r="E29" s="282"/>
      <c r="F29" s="141"/>
      <c r="G29" s="142"/>
      <c r="H29" s="142"/>
      <c r="I29" s="161"/>
      <c r="J29" s="142"/>
      <c r="K29" s="7">
        <v>200</v>
      </c>
      <c r="L29" s="144"/>
      <c r="M29" s="146">
        <f>K29</f>
        <v>200</v>
      </c>
      <c r="N29" s="147">
        <f t="shared" si="1"/>
        <v>8.3333333333333339</v>
      </c>
      <c r="O29" s="148"/>
      <c r="P29" s="149"/>
    </row>
    <row r="30" spans="2:18" ht="22.5" customHeight="1" x14ac:dyDescent="0.3">
      <c r="B30" s="107"/>
      <c r="C30" s="258" t="s">
        <v>49</v>
      </c>
      <c r="D30" s="258"/>
      <c r="E30" s="258"/>
      <c r="F30" s="141"/>
      <c r="G30" s="142"/>
      <c r="H30" s="142"/>
      <c r="I30" s="161"/>
      <c r="J30" s="142"/>
      <c r="K30" s="7">
        <v>1000</v>
      </c>
      <c r="L30" s="144"/>
      <c r="M30" s="146">
        <f>K30</f>
        <v>1000</v>
      </c>
      <c r="N30" s="147">
        <f t="shared" si="1"/>
        <v>41.666666666666664</v>
      </c>
      <c r="O30" s="148"/>
      <c r="P30" s="149"/>
    </row>
    <row r="31" spans="2:18" ht="22.5" customHeight="1" x14ac:dyDescent="0.3">
      <c r="B31" s="107"/>
      <c r="C31" s="282" t="s">
        <v>29</v>
      </c>
      <c r="D31" s="282"/>
      <c r="E31" s="282"/>
      <c r="F31" s="141"/>
      <c r="G31" s="142"/>
      <c r="H31" s="142"/>
      <c r="I31" s="11">
        <v>12000</v>
      </c>
      <c r="J31" s="163"/>
      <c r="K31" s="12">
        <v>5.7500000000000002E-2</v>
      </c>
      <c r="L31" s="164"/>
      <c r="M31" s="146">
        <f>I31*K31</f>
        <v>690</v>
      </c>
      <c r="N31" s="147">
        <f t="shared" si="1"/>
        <v>28.75</v>
      </c>
      <c r="O31" s="148"/>
      <c r="P31" s="149"/>
    </row>
    <row r="32" spans="2:18" ht="22.5" customHeight="1" thickBot="1" x14ac:dyDescent="0.35">
      <c r="B32" s="107"/>
      <c r="C32" s="150" t="s">
        <v>22</v>
      </c>
      <c r="D32" s="150"/>
      <c r="E32" s="151"/>
      <c r="F32" s="151"/>
      <c r="G32" s="152"/>
      <c r="H32" s="152"/>
      <c r="I32" s="152"/>
      <c r="J32" s="152"/>
      <c r="K32" s="165"/>
      <c r="L32" s="166"/>
      <c r="M32" s="167">
        <f>SUM(M17:M31)</f>
        <v>18928.64</v>
      </c>
      <c r="N32" s="168">
        <f>M32/$N$5</f>
        <v>788.69333333333327</v>
      </c>
      <c r="O32" s="169"/>
      <c r="P32" s="170"/>
      <c r="Q32" s="236"/>
    </row>
    <row r="33" spans="2:17" ht="22.5" customHeight="1" x14ac:dyDescent="0.3">
      <c r="B33" s="107"/>
      <c r="C33" s="102"/>
      <c r="D33" s="102"/>
      <c r="E33" s="102"/>
      <c r="F33" s="102"/>
      <c r="G33" s="103"/>
      <c r="H33" s="103"/>
      <c r="I33" s="103"/>
      <c r="J33" s="103"/>
      <c r="K33" s="171"/>
      <c r="L33" s="172"/>
      <c r="M33" s="173"/>
      <c r="N33" s="174"/>
      <c r="O33" s="148"/>
      <c r="P33" s="149"/>
    </row>
    <row r="34" spans="2:17" ht="22.5" customHeight="1" thickBot="1" x14ac:dyDescent="0.35">
      <c r="B34" s="107"/>
      <c r="C34" s="150" t="s">
        <v>23</v>
      </c>
      <c r="D34" s="150"/>
      <c r="E34" s="151"/>
      <c r="F34" s="151"/>
      <c r="G34" s="152"/>
      <c r="H34" s="152"/>
      <c r="I34" s="152"/>
      <c r="J34" s="152"/>
      <c r="K34" s="165"/>
      <c r="L34" s="166"/>
      <c r="M34" s="175">
        <f>M14-M32</f>
        <v>5401.3600000000006</v>
      </c>
      <c r="N34" s="175">
        <f>N14-N32</f>
        <v>225.05666666666673</v>
      </c>
      <c r="O34" s="169"/>
      <c r="P34" s="170"/>
      <c r="Q34" s="241"/>
    </row>
    <row r="35" spans="2:17" ht="7.5" customHeight="1" x14ac:dyDescent="0.3">
      <c r="B35" s="107"/>
      <c r="C35" s="108"/>
      <c r="D35" s="108"/>
      <c r="E35" s="141"/>
      <c r="F35" s="141"/>
      <c r="G35" s="142"/>
      <c r="H35" s="142"/>
      <c r="I35" s="142"/>
      <c r="J35" s="142"/>
      <c r="K35" s="176"/>
      <c r="L35" s="144"/>
      <c r="M35" s="177"/>
      <c r="N35" s="178"/>
      <c r="O35" s="169"/>
      <c r="P35" s="170"/>
    </row>
    <row r="36" spans="2:17" s="99" customFormat="1" ht="22.5" customHeight="1" x14ac:dyDescent="0.3">
      <c r="B36" s="179"/>
      <c r="C36" s="180"/>
      <c r="D36" s="180"/>
      <c r="G36" s="100"/>
      <c r="H36" s="100"/>
      <c r="I36" s="100"/>
      <c r="J36" s="100"/>
      <c r="K36" s="181"/>
      <c r="L36" s="182"/>
      <c r="M36" s="183"/>
      <c r="N36" s="184"/>
      <c r="O36" s="185"/>
      <c r="P36" s="170"/>
    </row>
    <row r="37" spans="2:17" ht="7.5" customHeight="1" x14ac:dyDescent="0.3">
      <c r="B37" s="107"/>
      <c r="C37" s="141"/>
      <c r="D37" s="141"/>
      <c r="E37" s="141"/>
      <c r="F37" s="141"/>
      <c r="G37" s="142"/>
      <c r="H37" s="142"/>
      <c r="I37" s="142"/>
      <c r="J37" s="142"/>
      <c r="K37" s="176"/>
      <c r="L37" s="144"/>
      <c r="M37" s="186"/>
      <c r="N37" s="187"/>
      <c r="O37" s="148"/>
      <c r="P37" s="149"/>
    </row>
    <row r="38" spans="2:17" ht="22.5" customHeight="1" thickBot="1" x14ac:dyDescent="0.35">
      <c r="B38" s="107"/>
      <c r="C38" s="150" t="s">
        <v>24</v>
      </c>
      <c r="D38" s="150"/>
      <c r="E38" s="188"/>
      <c r="F38" s="141"/>
      <c r="G38" s="142"/>
      <c r="H38" s="142"/>
      <c r="I38" s="142"/>
      <c r="J38" s="142"/>
      <c r="K38" s="176"/>
      <c r="L38" s="144"/>
      <c r="M38" s="186"/>
      <c r="N38" s="187"/>
      <c r="O38" s="148"/>
      <c r="P38" s="149"/>
    </row>
    <row r="39" spans="2:17" ht="22.5" customHeight="1" x14ac:dyDescent="0.3">
      <c r="B39" s="107"/>
      <c r="C39" s="282" t="s">
        <v>32</v>
      </c>
      <c r="D39" s="282"/>
      <c r="E39" s="282"/>
      <c r="F39" s="141"/>
      <c r="G39" s="142"/>
      <c r="H39" s="142"/>
      <c r="I39" s="161"/>
      <c r="J39" s="163"/>
      <c r="K39" s="13">
        <v>0</v>
      </c>
      <c r="L39" s="144"/>
      <c r="M39" s="189">
        <f>K39</f>
        <v>0</v>
      </c>
      <c r="N39" s="147">
        <f>M39/$N$5</f>
        <v>0</v>
      </c>
      <c r="O39" s="148"/>
      <c r="P39" s="149"/>
    </row>
    <row r="40" spans="2:17" ht="22.5" customHeight="1" x14ac:dyDescent="0.3">
      <c r="B40" s="107"/>
      <c r="C40" s="282" t="s">
        <v>33</v>
      </c>
      <c r="D40" s="282"/>
      <c r="E40" s="282"/>
      <c r="F40" s="141"/>
      <c r="G40" s="142"/>
      <c r="H40" s="142"/>
      <c r="I40" s="161"/>
      <c r="J40" s="163"/>
      <c r="K40" s="13">
        <v>250</v>
      </c>
      <c r="L40" s="144"/>
      <c r="M40" s="189">
        <f>K40</f>
        <v>250</v>
      </c>
      <c r="N40" s="147">
        <f>M40/$N$5</f>
        <v>10.416666666666666</v>
      </c>
      <c r="O40" s="148"/>
      <c r="P40" s="149"/>
    </row>
    <row r="41" spans="2:17" ht="22.5" customHeight="1" thickBot="1" x14ac:dyDescent="0.35">
      <c r="B41" s="107"/>
      <c r="C41" s="150" t="s">
        <v>25</v>
      </c>
      <c r="D41" s="150"/>
      <c r="E41" s="151"/>
      <c r="F41" s="151"/>
      <c r="G41" s="152"/>
      <c r="H41" s="152"/>
      <c r="I41" s="152"/>
      <c r="J41" s="152"/>
      <c r="K41" s="152"/>
      <c r="L41" s="151"/>
      <c r="M41" s="167">
        <f>SUM(M39:M40)</f>
        <v>250</v>
      </c>
      <c r="N41" s="168">
        <f>M41/$N$5</f>
        <v>10.416666666666666</v>
      </c>
      <c r="O41" s="169"/>
      <c r="P41" s="170"/>
      <c r="Q41" s="241"/>
    </row>
    <row r="42" spans="2:17" ht="22.5" customHeight="1" x14ac:dyDescent="0.3">
      <c r="B42" s="107"/>
      <c r="C42" s="141"/>
      <c r="D42" s="141"/>
      <c r="E42" s="141"/>
      <c r="F42" s="141"/>
      <c r="G42" s="142"/>
      <c r="H42" s="142"/>
      <c r="I42" s="142"/>
      <c r="J42" s="142"/>
      <c r="K42" s="142"/>
      <c r="L42" s="141"/>
      <c r="M42" s="186"/>
      <c r="N42" s="190"/>
      <c r="O42" s="148"/>
      <c r="P42" s="149"/>
    </row>
    <row r="43" spans="2:17" ht="22.5" customHeight="1" thickBot="1" x14ac:dyDescent="0.35">
      <c r="B43" s="107"/>
      <c r="C43" s="150" t="s">
        <v>26</v>
      </c>
      <c r="D43" s="150"/>
      <c r="E43" s="151"/>
      <c r="F43" s="151"/>
      <c r="G43" s="152"/>
      <c r="H43" s="152"/>
      <c r="I43" s="152"/>
      <c r="J43" s="152"/>
      <c r="K43" s="152"/>
      <c r="L43" s="151"/>
      <c r="M43" s="175">
        <f>+M32+M41</f>
        <v>19178.64</v>
      </c>
      <c r="N43" s="175">
        <f>+N32+N41</f>
        <v>799.1099999999999</v>
      </c>
      <c r="O43" s="169"/>
      <c r="P43" s="170"/>
      <c r="Q43" s="241"/>
    </row>
    <row r="44" spans="2:17" ht="22.5" customHeight="1" x14ac:dyDescent="0.3">
      <c r="B44" s="107"/>
      <c r="C44" s="102"/>
      <c r="D44" s="102"/>
      <c r="E44" s="102"/>
      <c r="F44" s="102"/>
      <c r="G44" s="103"/>
      <c r="H44" s="103"/>
      <c r="I44" s="103"/>
      <c r="J44" s="103"/>
      <c r="K44" s="103"/>
      <c r="L44" s="102"/>
      <c r="M44" s="173"/>
      <c r="N44" s="174"/>
      <c r="O44" s="148"/>
      <c r="P44" s="149"/>
    </row>
    <row r="45" spans="2:17" ht="22.5" customHeight="1" thickBot="1" x14ac:dyDescent="0.35">
      <c r="B45" s="107"/>
      <c r="C45" s="150" t="s">
        <v>27</v>
      </c>
      <c r="D45" s="150"/>
      <c r="E45" s="151"/>
      <c r="F45" s="151"/>
      <c r="G45" s="152"/>
      <c r="H45" s="152"/>
      <c r="I45" s="152"/>
      <c r="J45" s="152"/>
      <c r="K45" s="152"/>
      <c r="L45" s="151"/>
      <c r="M45" s="175">
        <f>M14-M43</f>
        <v>5151.3600000000006</v>
      </c>
      <c r="N45" s="175">
        <f>N14-N43</f>
        <v>214.6400000000001</v>
      </c>
      <c r="O45" s="169"/>
      <c r="P45" s="170"/>
      <c r="Q45" s="241"/>
    </row>
    <row r="46" spans="2:17" ht="7.5" customHeight="1" thickBot="1" x14ac:dyDescent="0.35">
      <c r="B46" s="192"/>
      <c r="C46" s="151"/>
      <c r="D46" s="151"/>
      <c r="E46" s="151"/>
      <c r="F46" s="151"/>
      <c r="G46" s="152"/>
      <c r="H46" s="152"/>
      <c r="I46" s="152"/>
      <c r="J46" s="152"/>
      <c r="K46" s="152"/>
      <c r="L46" s="151"/>
      <c r="M46" s="151"/>
      <c r="N46" s="151"/>
      <c r="O46" s="193"/>
    </row>
    <row r="47" spans="2:17" s="99" customFormat="1" x14ac:dyDescent="0.3">
      <c r="G47" s="100"/>
      <c r="H47" s="100"/>
      <c r="I47" s="100"/>
      <c r="J47" s="100"/>
      <c r="K47" s="100"/>
    </row>
    <row r="48" spans="2:17" s="99" customFormat="1" x14ac:dyDescent="0.3">
      <c r="G48" s="100"/>
      <c r="H48" s="100"/>
      <c r="I48" s="100"/>
      <c r="J48" s="100"/>
      <c r="K48" s="100"/>
    </row>
    <row r="49" spans="7:11" s="99" customFormat="1" x14ac:dyDescent="0.3">
      <c r="G49" s="100"/>
      <c r="H49" s="100"/>
      <c r="I49" s="100"/>
      <c r="J49" s="100"/>
      <c r="K49" s="100"/>
    </row>
    <row r="50" spans="7:11" s="99" customFormat="1" x14ac:dyDescent="0.3">
      <c r="G50" s="100"/>
      <c r="H50" s="100"/>
      <c r="I50" s="100"/>
      <c r="J50" s="100"/>
      <c r="K50" s="100"/>
    </row>
    <row r="51" spans="7:11" s="99" customFormat="1" x14ac:dyDescent="0.3">
      <c r="G51" s="100"/>
      <c r="H51" s="100"/>
      <c r="I51" s="100"/>
      <c r="J51" s="100"/>
      <c r="K51" s="100"/>
    </row>
    <row r="52" spans="7:11" s="99" customFormat="1" x14ac:dyDescent="0.3">
      <c r="G52" s="100"/>
      <c r="H52" s="100"/>
      <c r="I52" s="100"/>
      <c r="J52" s="100"/>
      <c r="K52" s="100"/>
    </row>
    <row r="53" spans="7:11" s="99" customFormat="1" x14ac:dyDescent="0.3">
      <c r="G53" s="100"/>
      <c r="H53" s="100"/>
      <c r="I53" s="100"/>
      <c r="J53" s="100"/>
      <c r="K53" s="100"/>
    </row>
    <row r="54" spans="7:11" s="99" customFormat="1" x14ac:dyDescent="0.3">
      <c r="G54" s="100"/>
      <c r="H54" s="100"/>
      <c r="I54" s="100"/>
      <c r="J54" s="100"/>
      <c r="K54" s="100"/>
    </row>
    <row r="55" spans="7:11" s="99" customFormat="1" x14ac:dyDescent="0.3">
      <c r="G55" s="100"/>
      <c r="H55" s="100"/>
      <c r="I55" s="100"/>
      <c r="J55" s="100"/>
      <c r="K55" s="100"/>
    </row>
    <row r="56" spans="7:11" s="99" customFormat="1" x14ac:dyDescent="0.3">
      <c r="G56" s="100"/>
      <c r="H56" s="100"/>
      <c r="I56" s="100"/>
      <c r="J56" s="100"/>
      <c r="K56" s="100"/>
    </row>
    <row r="57" spans="7:11" s="99" customFormat="1" x14ac:dyDescent="0.3">
      <c r="G57" s="100"/>
      <c r="H57" s="100"/>
      <c r="I57" s="100"/>
      <c r="J57" s="100"/>
      <c r="K57" s="100"/>
    </row>
    <row r="58" spans="7:11" s="99" customFormat="1" x14ac:dyDescent="0.3">
      <c r="G58" s="100"/>
      <c r="H58" s="100"/>
      <c r="I58" s="100"/>
      <c r="J58" s="100"/>
      <c r="K58" s="100"/>
    </row>
    <row r="59" spans="7:11" s="99" customFormat="1" x14ac:dyDescent="0.3">
      <c r="G59" s="100"/>
      <c r="H59" s="100"/>
      <c r="I59" s="100"/>
      <c r="J59" s="100"/>
      <c r="K59" s="100"/>
    </row>
    <row r="60" spans="7:11" s="99" customFormat="1" x14ac:dyDescent="0.3">
      <c r="G60" s="100"/>
      <c r="H60" s="100"/>
      <c r="I60" s="100"/>
      <c r="J60" s="100"/>
      <c r="K60" s="100"/>
    </row>
    <row r="61" spans="7:11" s="99" customFormat="1" x14ac:dyDescent="0.3">
      <c r="G61" s="100"/>
      <c r="H61" s="100"/>
      <c r="I61" s="100"/>
      <c r="J61" s="100"/>
      <c r="K61" s="100"/>
    </row>
    <row r="62" spans="7:11" s="99" customFormat="1" x14ac:dyDescent="0.3">
      <c r="G62" s="100"/>
      <c r="H62" s="100"/>
      <c r="I62" s="100"/>
      <c r="J62" s="100"/>
      <c r="K62" s="100"/>
    </row>
    <row r="63" spans="7:11" s="99" customFormat="1" x14ac:dyDescent="0.3">
      <c r="G63" s="100"/>
      <c r="H63" s="100"/>
      <c r="I63" s="100"/>
      <c r="J63" s="100"/>
      <c r="K63" s="100"/>
    </row>
    <row r="64" spans="7:11" s="99" customFormat="1" x14ac:dyDescent="0.3">
      <c r="G64" s="100"/>
      <c r="H64" s="100"/>
      <c r="I64" s="100"/>
      <c r="J64" s="100"/>
      <c r="K64" s="100"/>
    </row>
    <row r="65" spans="7:11" s="99" customFormat="1" x14ac:dyDescent="0.3">
      <c r="G65" s="100"/>
      <c r="H65" s="100"/>
      <c r="I65" s="100"/>
      <c r="J65" s="100"/>
      <c r="K65" s="100"/>
    </row>
    <row r="66" spans="7:11" s="99" customFormat="1" x14ac:dyDescent="0.3">
      <c r="G66" s="100"/>
      <c r="H66" s="100"/>
      <c r="I66" s="100"/>
      <c r="J66" s="100"/>
      <c r="K66" s="100"/>
    </row>
    <row r="67" spans="7:11" s="99" customFormat="1" x14ac:dyDescent="0.3">
      <c r="G67" s="100"/>
      <c r="H67" s="100"/>
      <c r="I67" s="100"/>
      <c r="J67" s="100"/>
      <c r="K67" s="100"/>
    </row>
    <row r="68" spans="7:11" s="99" customFormat="1" x14ac:dyDescent="0.3">
      <c r="G68" s="100"/>
      <c r="H68" s="100"/>
      <c r="I68" s="100"/>
      <c r="J68" s="100"/>
      <c r="K68" s="100"/>
    </row>
    <row r="69" spans="7:11" s="99" customFormat="1" x14ac:dyDescent="0.3">
      <c r="G69" s="100"/>
      <c r="H69" s="100"/>
      <c r="I69" s="100"/>
      <c r="J69" s="100"/>
      <c r="K69" s="100"/>
    </row>
    <row r="70" spans="7:11" s="99" customFormat="1" x14ac:dyDescent="0.3">
      <c r="G70" s="100"/>
      <c r="H70" s="100"/>
      <c r="I70" s="100"/>
      <c r="J70" s="100"/>
      <c r="K70" s="100"/>
    </row>
    <row r="71" spans="7:11" s="99" customFormat="1" x14ac:dyDescent="0.3">
      <c r="G71" s="100"/>
      <c r="H71" s="100"/>
      <c r="I71" s="100"/>
      <c r="J71" s="100"/>
      <c r="K71" s="100"/>
    </row>
    <row r="72" spans="7:11" s="99" customFormat="1" x14ac:dyDescent="0.3">
      <c r="G72" s="100"/>
      <c r="H72" s="100"/>
      <c r="I72" s="100"/>
      <c r="J72" s="100"/>
      <c r="K72" s="100"/>
    </row>
    <row r="73" spans="7:11" s="99" customFormat="1" x14ac:dyDescent="0.3">
      <c r="G73" s="100"/>
      <c r="H73" s="100"/>
      <c r="I73" s="100"/>
      <c r="J73" s="100"/>
      <c r="K73" s="100"/>
    </row>
    <row r="74" spans="7:11" s="99" customFormat="1" x14ac:dyDescent="0.3">
      <c r="G74" s="100"/>
      <c r="H74" s="100"/>
      <c r="I74" s="100"/>
      <c r="J74" s="100"/>
      <c r="K74" s="100"/>
    </row>
    <row r="75" spans="7:11" s="99" customFormat="1" x14ac:dyDescent="0.3">
      <c r="G75" s="100"/>
      <c r="H75" s="100"/>
      <c r="I75" s="100"/>
      <c r="J75" s="100"/>
      <c r="K75" s="100"/>
    </row>
    <row r="76" spans="7:11" s="99" customFormat="1" x14ac:dyDescent="0.3">
      <c r="G76" s="100"/>
      <c r="H76" s="100"/>
      <c r="I76" s="100"/>
      <c r="J76" s="100"/>
      <c r="K76" s="100"/>
    </row>
    <row r="77" spans="7:11" s="99" customFormat="1" x14ac:dyDescent="0.3">
      <c r="G77" s="100"/>
      <c r="H77" s="100"/>
      <c r="I77" s="100"/>
      <c r="J77" s="100"/>
      <c r="K77" s="100"/>
    </row>
    <row r="78" spans="7:11" s="99" customFormat="1" x14ac:dyDescent="0.3">
      <c r="G78" s="100"/>
      <c r="H78" s="100"/>
      <c r="I78" s="100"/>
      <c r="J78" s="100"/>
      <c r="K78" s="100"/>
    </row>
    <row r="79" spans="7:11" s="99" customFormat="1" x14ac:dyDescent="0.3">
      <c r="G79" s="100"/>
      <c r="H79" s="100"/>
      <c r="I79" s="100"/>
      <c r="J79" s="100"/>
      <c r="K79" s="100"/>
    </row>
    <row r="80" spans="7:11" s="99" customFormat="1" x14ac:dyDescent="0.3">
      <c r="G80" s="100"/>
      <c r="H80" s="100"/>
      <c r="I80" s="100"/>
      <c r="J80" s="100"/>
      <c r="K80" s="100"/>
    </row>
    <row r="81" spans="7:11" s="99" customFormat="1" x14ac:dyDescent="0.3">
      <c r="G81" s="100"/>
      <c r="H81" s="100"/>
      <c r="I81" s="100"/>
      <c r="J81" s="100"/>
      <c r="K81" s="100"/>
    </row>
    <row r="82" spans="7:11" s="99" customFormat="1" x14ac:dyDescent="0.3">
      <c r="G82" s="100"/>
      <c r="H82" s="100"/>
      <c r="I82" s="100"/>
      <c r="J82" s="100"/>
      <c r="K82" s="100"/>
    </row>
    <row r="83" spans="7:11" s="99" customFormat="1" x14ac:dyDescent="0.3">
      <c r="G83" s="100"/>
      <c r="H83" s="100"/>
      <c r="I83" s="100"/>
      <c r="J83" s="100"/>
      <c r="K83" s="100"/>
    </row>
    <row r="84" spans="7:11" s="99" customFormat="1" x14ac:dyDescent="0.3">
      <c r="G84" s="100"/>
      <c r="H84" s="100"/>
      <c r="I84" s="100"/>
      <c r="J84" s="100"/>
      <c r="K84" s="100"/>
    </row>
    <row r="85" spans="7:11" s="99" customFormat="1" x14ac:dyDescent="0.3">
      <c r="G85" s="100"/>
      <c r="H85" s="100"/>
      <c r="I85" s="100"/>
      <c r="J85" s="100"/>
      <c r="K85" s="100"/>
    </row>
    <row r="86" spans="7:11" s="99" customFormat="1" x14ac:dyDescent="0.3">
      <c r="G86" s="100"/>
      <c r="H86" s="100"/>
      <c r="I86" s="100"/>
      <c r="J86" s="100"/>
      <c r="K86" s="100"/>
    </row>
    <row r="87" spans="7:11" s="99" customFormat="1" x14ac:dyDescent="0.3">
      <c r="G87" s="100"/>
      <c r="H87" s="100"/>
      <c r="I87" s="100"/>
      <c r="J87" s="100"/>
      <c r="K87" s="100"/>
    </row>
    <row r="88" spans="7:11" s="99" customFormat="1" x14ac:dyDescent="0.3">
      <c r="G88" s="100"/>
      <c r="H88" s="100"/>
      <c r="I88" s="100"/>
      <c r="J88" s="100"/>
      <c r="K88" s="100"/>
    </row>
    <row r="89" spans="7:11" s="99" customFormat="1" x14ac:dyDescent="0.3">
      <c r="G89" s="100"/>
      <c r="H89" s="100"/>
      <c r="I89" s="100"/>
      <c r="J89" s="100"/>
      <c r="K89" s="100"/>
    </row>
    <row r="90" spans="7:11" s="99" customFormat="1" x14ac:dyDescent="0.3">
      <c r="G90" s="100"/>
      <c r="H90" s="100"/>
      <c r="I90" s="100"/>
      <c r="J90" s="100"/>
      <c r="K90" s="100"/>
    </row>
    <row r="91" spans="7:11" s="99" customFormat="1" x14ac:dyDescent="0.3">
      <c r="G91" s="100"/>
      <c r="H91" s="100"/>
      <c r="I91" s="100"/>
      <c r="J91" s="100"/>
      <c r="K91" s="100"/>
    </row>
    <row r="92" spans="7:11" s="99" customFormat="1" x14ac:dyDescent="0.3">
      <c r="G92" s="100"/>
      <c r="H92" s="100"/>
      <c r="I92" s="100"/>
      <c r="J92" s="100"/>
      <c r="K92" s="100"/>
    </row>
    <row r="93" spans="7:11" s="99" customFormat="1" x14ac:dyDescent="0.3">
      <c r="G93" s="100"/>
      <c r="H93" s="100"/>
      <c r="I93" s="100"/>
      <c r="J93" s="100"/>
      <c r="K93" s="100"/>
    </row>
    <row r="94" spans="7:11" s="99" customFormat="1" x14ac:dyDescent="0.3">
      <c r="G94" s="100"/>
      <c r="H94" s="100"/>
      <c r="I94" s="100"/>
      <c r="J94" s="100"/>
      <c r="K94" s="100"/>
    </row>
    <row r="95" spans="7:11" s="99" customFormat="1" x14ac:dyDescent="0.3">
      <c r="G95" s="100"/>
      <c r="H95" s="100"/>
      <c r="I95" s="100"/>
      <c r="J95" s="100"/>
      <c r="K95" s="100"/>
    </row>
  </sheetData>
  <mergeCells count="24">
    <mergeCell ref="C29:E29"/>
    <mergeCell ref="C31:E31"/>
    <mergeCell ref="C39:E39"/>
    <mergeCell ref="C40:E40"/>
    <mergeCell ref="C27:E27"/>
    <mergeCell ref="C28:E28"/>
    <mergeCell ref="C26:E26"/>
    <mergeCell ref="Q11:R11"/>
    <mergeCell ref="C17:E17"/>
    <mergeCell ref="C18:E18"/>
    <mergeCell ref="Q18:R18"/>
    <mergeCell ref="C19:E19"/>
    <mergeCell ref="C20:E20"/>
    <mergeCell ref="C21:E21"/>
    <mergeCell ref="C22:E22"/>
    <mergeCell ref="C23:E23"/>
    <mergeCell ref="C24:E24"/>
    <mergeCell ref="C25:E25"/>
    <mergeCell ref="Q10:R10"/>
    <mergeCell ref="C3:K3"/>
    <mergeCell ref="Q3:T3"/>
    <mergeCell ref="Q4:T8"/>
    <mergeCell ref="C5:K5"/>
    <mergeCell ref="C6:G6"/>
  </mergeCells>
  <pageMargins left="0.7" right="0.7" top="0.75" bottom="0.75" header="0.3" footer="0.3"/>
  <pageSetup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B85E-B7AE-4BD7-BF16-4890348E4B27}">
  <dimension ref="A1:L27"/>
  <sheetViews>
    <sheetView workbookViewId="0">
      <selection activeCell="D21" sqref="D21"/>
    </sheetView>
  </sheetViews>
  <sheetFormatPr defaultColWidth="23.8984375" defaultRowHeight="15.6" x14ac:dyDescent="0.3"/>
  <cols>
    <col min="1" max="1" width="31.8984375" customWidth="1"/>
    <col min="2" max="2" width="1.69921875" customWidth="1"/>
    <col min="3" max="3" width="1.3984375" customWidth="1"/>
    <col min="4" max="4" width="15.69921875" customWidth="1"/>
    <col min="5" max="7" width="1.3984375" customWidth="1"/>
    <col min="8" max="8" width="8.5" customWidth="1"/>
    <col min="9" max="9" width="12.19921875" style="92" customWidth="1"/>
    <col min="10" max="10" width="9.3984375" style="231" customWidth="1"/>
    <col min="11" max="11" width="8.5" style="90" customWidth="1"/>
    <col min="12" max="12" width="15.69921875" style="91" customWidth="1"/>
    <col min="13" max="251" width="7.8984375" customWidth="1"/>
    <col min="253" max="253" width="27.3984375" customWidth="1"/>
    <col min="254" max="254" width="1.69921875" customWidth="1"/>
    <col min="255" max="255" width="10.3984375" customWidth="1"/>
    <col min="256" max="256" width="1.09765625" customWidth="1"/>
    <col min="257" max="257" width="9.5" customWidth="1"/>
    <col min="258" max="258" width="1.3984375" customWidth="1"/>
    <col min="259" max="259" width="11" customWidth="1"/>
    <col min="260" max="260" width="1.3984375" customWidth="1"/>
    <col min="261" max="261" width="15.69921875" customWidth="1"/>
    <col min="262" max="262" width="1.3984375" customWidth="1"/>
    <col min="263" max="263" width="8.5" customWidth="1"/>
    <col min="264" max="265" width="12.19921875" customWidth="1"/>
    <col min="266" max="266" width="9.3984375" customWidth="1"/>
    <col min="267" max="267" width="8.5" customWidth="1"/>
    <col min="268" max="268" width="15.69921875" customWidth="1"/>
    <col min="269" max="507" width="7.8984375" customWidth="1"/>
    <col min="509" max="509" width="27.3984375" customWidth="1"/>
    <col min="510" max="510" width="1.69921875" customWidth="1"/>
    <col min="511" max="511" width="10.3984375" customWidth="1"/>
    <col min="512" max="512" width="1.09765625" customWidth="1"/>
    <col min="513" max="513" width="9.5" customWidth="1"/>
    <col min="514" max="514" width="1.3984375" customWidth="1"/>
    <col min="515" max="515" width="11" customWidth="1"/>
    <col min="516" max="516" width="1.3984375" customWidth="1"/>
    <col min="517" max="517" width="15.69921875" customWidth="1"/>
    <col min="518" max="518" width="1.3984375" customWidth="1"/>
    <col min="519" max="519" width="8.5" customWidth="1"/>
    <col min="520" max="521" width="12.19921875" customWidth="1"/>
    <col min="522" max="522" width="9.3984375" customWidth="1"/>
    <col min="523" max="523" width="8.5" customWidth="1"/>
    <col min="524" max="524" width="15.69921875" customWidth="1"/>
    <col min="525" max="763" width="7.8984375" customWidth="1"/>
    <col min="765" max="765" width="27.3984375" customWidth="1"/>
    <col min="766" max="766" width="1.69921875" customWidth="1"/>
    <col min="767" max="767" width="10.3984375" customWidth="1"/>
    <col min="768" max="768" width="1.09765625" customWidth="1"/>
    <col min="769" max="769" width="9.5" customWidth="1"/>
    <col min="770" max="770" width="1.3984375" customWidth="1"/>
    <col min="771" max="771" width="11" customWidth="1"/>
    <col min="772" max="772" width="1.3984375" customWidth="1"/>
    <col min="773" max="773" width="15.69921875" customWidth="1"/>
    <col min="774" max="774" width="1.3984375" customWidth="1"/>
    <col min="775" max="775" width="8.5" customWidth="1"/>
    <col min="776" max="777" width="12.19921875" customWidth="1"/>
    <col min="778" max="778" width="9.3984375" customWidth="1"/>
    <col min="779" max="779" width="8.5" customWidth="1"/>
    <col min="780" max="780" width="15.69921875" customWidth="1"/>
    <col min="781" max="1019" width="7.8984375" customWidth="1"/>
    <col min="1021" max="1021" width="27.3984375" customWidth="1"/>
    <col min="1022" max="1022" width="1.69921875" customWidth="1"/>
    <col min="1023" max="1023" width="10.3984375" customWidth="1"/>
    <col min="1024" max="1024" width="1.09765625" customWidth="1"/>
    <col min="1025" max="1025" width="9.5" customWidth="1"/>
    <col min="1026" max="1026" width="1.3984375" customWidth="1"/>
    <col min="1027" max="1027" width="11" customWidth="1"/>
    <col min="1028" max="1028" width="1.3984375" customWidth="1"/>
    <col min="1029" max="1029" width="15.69921875" customWidth="1"/>
    <col min="1030" max="1030" width="1.3984375" customWidth="1"/>
    <col min="1031" max="1031" width="8.5" customWidth="1"/>
    <col min="1032" max="1033" width="12.19921875" customWidth="1"/>
    <col min="1034" max="1034" width="9.3984375" customWidth="1"/>
    <col min="1035" max="1035" width="8.5" customWidth="1"/>
    <col min="1036" max="1036" width="15.69921875" customWidth="1"/>
    <col min="1037" max="1275" width="7.8984375" customWidth="1"/>
    <col min="1277" max="1277" width="27.3984375" customWidth="1"/>
    <col min="1278" max="1278" width="1.69921875" customWidth="1"/>
    <col min="1279" max="1279" width="10.3984375" customWidth="1"/>
    <col min="1280" max="1280" width="1.09765625" customWidth="1"/>
    <col min="1281" max="1281" width="9.5" customWidth="1"/>
    <col min="1282" max="1282" width="1.3984375" customWidth="1"/>
    <col min="1283" max="1283" width="11" customWidth="1"/>
    <col min="1284" max="1284" width="1.3984375" customWidth="1"/>
    <col min="1285" max="1285" width="15.69921875" customWidth="1"/>
    <col min="1286" max="1286" width="1.3984375" customWidth="1"/>
    <col min="1287" max="1287" width="8.5" customWidth="1"/>
    <col min="1288" max="1289" width="12.19921875" customWidth="1"/>
    <col min="1290" max="1290" width="9.3984375" customWidth="1"/>
    <col min="1291" max="1291" width="8.5" customWidth="1"/>
    <col min="1292" max="1292" width="15.69921875" customWidth="1"/>
    <col min="1293" max="1531" width="7.8984375" customWidth="1"/>
    <col min="1533" max="1533" width="27.3984375" customWidth="1"/>
    <col min="1534" max="1534" width="1.69921875" customWidth="1"/>
    <col min="1535" max="1535" width="10.3984375" customWidth="1"/>
    <col min="1536" max="1536" width="1.09765625" customWidth="1"/>
    <col min="1537" max="1537" width="9.5" customWidth="1"/>
    <col min="1538" max="1538" width="1.3984375" customWidth="1"/>
    <col min="1539" max="1539" width="11" customWidth="1"/>
    <col min="1540" max="1540" width="1.3984375" customWidth="1"/>
    <col min="1541" max="1541" width="15.69921875" customWidth="1"/>
    <col min="1542" max="1542" width="1.3984375" customWidth="1"/>
    <col min="1543" max="1543" width="8.5" customWidth="1"/>
    <col min="1544" max="1545" width="12.19921875" customWidth="1"/>
    <col min="1546" max="1546" width="9.3984375" customWidth="1"/>
    <col min="1547" max="1547" width="8.5" customWidth="1"/>
    <col min="1548" max="1548" width="15.69921875" customWidth="1"/>
    <col min="1549" max="1787" width="7.8984375" customWidth="1"/>
    <col min="1789" max="1789" width="27.3984375" customWidth="1"/>
    <col min="1790" max="1790" width="1.69921875" customWidth="1"/>
    <col min="1791" max="1791" width="10.3984375" customWidth="1"/>
    <col min="1792" max="1792" width="1.09765625" customWidth="1"/>
    <col min="1793" max="1793" width="9.5" customWidth="1"/>
    <col min="1794" max="1794" width="1.3984375" customWidth="1"/>
    <col min="1795" max="1795" width="11" customWidth="1"/>
    <col min="1796" max="1796" width="1.3984375" customWidth="1"/>
    <col min="1797" max="1797" width="15.69921875" customWidth="1"/>
    <col min="1798" max="1798" width="1.3984375" customWidth="1"/>
    <col min="1799" max="1799" width="8.5" customWidth="1"/>
    <col min="1800" max="1801" width="12.19921875" customWidth="1"/>
    <col min="1802" max="1802" width="9.3984375" customWidth="1"/>
    <col min="1803" max="1803" width="8.5" customWidth="1"/>
    <col min="1804" max="1804" width="15.69921875" customWidth="1"/>
    <col min="1805" max="2043" width="7.8984375" customWidth="1"/>
    <col min="2045" max="2045" width="27.3984375" customWidth="1"/>
    <col min="2046" max="2046" width="1.69921875" customWidth="1"/>
    <col min="2047" max="2047" width="10.3984375" customWidth="1"/>
    <col min="2048" max="2048" width="1.09765625" customWidth="1"/>
    <col min="2049" max="2049" width="9.5" customWidth="1"/>
    <col min="2050" max="2050" width="1.3984375" customWidth="1"/>
    <col min="2051" max="2051" width="11" customWidth="1"/>
    <col min="2052" max="2052" width="1.3984375" customWidth="1"/>
    <col min="2053" max="2053" width="15.69921875" customWidth="1"/>
    <col min="2054" max="2054" width="1.3984375" customWidth="1"/>
    <col min="2055" max="2055" width="8.5" customWidth="1"/>
    <col min="2056" max="2057" width="12.19921875" customWidth="1"/>
    <col min="2058" max="2058" width="9.3984375" customWidth="1"/>
    <col min="2059" max="2059" width="8.5" customWidth="1"/>
    <col min="2060" max="2060" width="15.69921875" customWidth="1"/>
    <col min="2061" max="2299" width="7.8984375" customWidth="1"/>
    <col min="2301" max="2301" width="27.3984375" customWidth="1"/>
    <col min="2302" max="2302" width="1.69921875" customWidth="1"/>
    <col min="2303" max="2303" width="10.3984375" customWidth="1"/>
    <col min="2304" max="2304" width="1.09765625" customWidth="1"/>
    <col min="2305" max="2305" width="9.5" customWidth="1"/>
    <col min="2306" max="2306" width="1.3984375" customWidth="1"/>
    <col min="2307" max="2307" width="11" customWidth="1"/>
    <col min="2308" max="2308" width="1.3984375" customWidth="1"/>
    <col min="2309" max="2309" width="15.69921875" customWidth="1"/>
    <col min="2310" max="2310" width="1.3984375" customWidth="1"/>
    <col min="2311" max="2311" width="8.5" customWidth="1"/>
    <col min="2312" max="2313" width="12.19921875" customWidth="1"/>
    <col min="2314" max="2314" width="9.3984375" customWidth="1"/>
    <col min="2315" max="2315" width="8.5" customWidth="1"/>
    <col min="2316" max="2316" width="15.69921875" customWidth="1"/>
    <col min="2317" max="2555" width="7.8984375" customWidth="1"/>
    <col min="2557" max="2557" width="27.3984375" customWidth="1"/>
    <col min="2558" max="2558" width="1.69921875" customWidth="1"/>
    <col min="2559" max="2559" width="10.3984375" customWidth="1"/>
    <col min="2560" max="2560" width="1.09765625" customWidth="1"/>
    <col min="2561" max="2561" width="9.5" customWidth="1"/>
    <col min="2562" max="2562" width="1.3984375" customWidth="1"/>
    <col min="2563" max="2563" width="11" customWidth="1"/>
    <col min="2564" max="2564" width="1.3984375" customWidth="1"/>
    <col min="2565" max="2565" width="15.69921875" customWidth="1"/>
    <col min="2566" max="2566" width="1.3984375" customWidth="1"/>
    <col min="2567" max="2567" width="8.5" customWidth="1"/>
    <col min="2568" max="2569" width="12.19921875" customWidth="1"/>
    <col min="2570" max="2570" width="9.3984375" customWidth="1"/>
    <col min="2571" max="2571" width="8.5" customWidth="1"/>
    <col min="2572" max="2572" width="15.69921875" customWidth="1"/>
    <col min="2573" max="2811" width="7.8984375" customWidth="1"/>
    <col min="2813" max="2813" width="27.3984375" customWidth="1"/>
    <col min="2814" max="2814" width="1.69921875" customWidth="1"/>
    <col min="2815" max="2815" width="10.3984375" customWidth="1"/>
    <col min="2816" max="2816" width="1.09765625" customWidth="1"/>
    <col min="2817" max="2817" width="9.5" customWidth="1"/>
    <col min="2818" max="2818" width="1.3984375" customWidth="1"/>
    <col min="2819" max="2819" width="11" customWidth="1"/>
    <col min="2820" max="2820" width="1.3984375" customWidth="1"/>
    <col min="2821" max="2821" width="15.69921875" customWidth="1"/>
    <col min="2822" max="2822" width="1.3984375" customWidth="1"/>
    <col min="2823" max="2823" width="8.5" customWidth="1"/>
    <col min="2824" max="2825" width="12.19921875" customWidth="1"/>
    <col min="2826" max="2826" width="9.3984375" customWidth="1"/>
    <col min="2827" max="2827" width="8.5" customWidth="1"/>
    <col min="2828" max="2828" width="15.69921875" customWidth="1"/>
    <col min="2829" max="3067" width="7.8984375" customWidth="1"/>
    <col min="3069" max="3069" width="27.3984375" customWidth="1"/>
    <col min="3070" max="3070" width="1.69921875" customWidth="1"/>
    <col min="3071" max="3071" width="10.3984375" customWidth="1"/>
    <col min="3072" max="3072" width="1.09765625" customWidth="1"/>
    <col min="3073" max="3073" width="9.5" customWidth="1"/>
    <col min="3074" max="3074" width="1.3984375" customWidth="1"/>
    <col min="3075" max="3075" width="11" customWidth="1"/>
    <col min="3076" max="3076" width="1.3984375" customWidth="1"/>
    <col min="3077" max="3077" width="15.69921875" customWidth="1"/>
    <col min="3078" max="3078" width="1.3984375" customWidth="1"/>
    <col min="3079" max="3079" width="8.5" customWidth="1"/>
    <col min="3080" max="3081" width="12.19921875" customWidth="1"/>
    <col min="3082" max="3082" width="9.3984375" customWidth="1"/>
    <col min="3083" max="3083" width="8.5" customWidth="1"/>
    <col min="3084" max="3084" width="15.69921875" customWidth="1"/>
    <col min="3085" max="3323" width="7.8984375" customWidth="1"/>
    <col min="3325" max="3325" width="27.3984375" customWidth="1"/>
    <col min="3326" max="3326" width="1.69921875" customWidth="1"/>
    <col min="3327" max="3327" width="10.3984375" customWidth="1"/>
    <col min="3328" max="3328" width="1.09765625" customWidth="1"/>
    <col min="3329" max="3329" width="9.5" customWidth="1"/>
    <col min="3330" max="3330" width="1.3984375" customWidth="1"/>
    <col min="3331" max="3331" width="11" customWidth="1"/>
    <col min="3332" max="3332" width="1.3984375" customWidth="1"/>
    <col min="3333" max="3333" width="15.69921875" customWidth="1"/>
    <col min="3334" max="3334" width="1.3984375" customWidth="1"/>
    <col min="3335" max="3335" width="8.5" customWidth="1"/>
    <col min="3336" max="3337" width="12.19921875" customWidth="1"/>
    <col min="3338" max="3338" width="9.3984375" customWidth="1"/>
    <col min="3339" max="3339" width="8.5" customWidth="1"/>
    <col min="3340" max="3340" width="15.69921875" customWidth="1"/>
    <col min="3341" max="3579" width="7.8984375" customWidth="1"/>
    <col min="3581" max="3581" width="27.3984375" customWidth="1"/>
    <col min="3582" max="3582" width="1.69921875" customWidth="1"/>
    <col min="3583" max="3583" width="10.3984375" customWidth="1"/>
    <col min="3584" max="3584" width="1.09765625" customWidth="1"/>
    <col min="3585" max="3585" width="9.5" customWidth="1"/>
    <col min="3586" max="3586" width="1.3984375" customWidth="1"/>
    <col min="3587" max="3587" width="11" customWidth="1"/>
    <col min="3588" max="3588" width="1.3984375" customWidth="1"/>
    <col min="3589" max="3589" width="15.69921875" customWidth="1"/>
    <col min="3590" max="3590" width="1.3984375" customWidth="1"/>
    <col min="3591" max="3591" width="8.5" customWidth="1"/>
    <col min="3592" max="3593" width="12.19921875" customWidth="1"/>
    <col min="3594" max="3594" width="9.3984375" customWidth="1"/>
    <col min="3595" max="3595" width="8.5" customWidth="1"/>
    <col min="3596" max="3596" width="15.69921875" customWidth="1"/>
    <col min="3597" max="3835" width="7.8984375" customWidth="1"/>
    <col min="3837" max="3837" width="27.3984375" customWidth="1"/>
    <col min="3838" max="3838" width="1.69921875" customWidth="1"/>
    <col min="3839" max="3839" width="10.3984375" customWidth="1"/>
    <col min="3840" max="3840" width="1.09765625" customWidth="1"/>
    <col min="3841" max="3841" width="9.5" customWidth="1"/>
    <col min="3842" max="3842" width="1.3984375" customWidth="1"/>
    <col min="3843" max="3843" width="11" customWidth="1"/>
    <col min="3844" max="3844" width="1.3984375" customWidth="1"/>
    <col min="3845" max="3845" width="15.69921875" customWidth="1"/>
    <col min="3846" max="3846" width="1.3984375" customWidth="1"/>
    <col min="3847" max="3847" width="8.5" customWidth="1"/>
    <col min="3848" max="3849" width="12.19921875" customWidth="1"/>
    <col min="3850" max="3850" width="9.3984375" customWidth="1"/>
    <col min="3851" max="3851" width="8.5" customWidth="1"/>
    <col min="3852" max="3852" width="15.69921875" customWidth="1"/>
    <col min="3853" max="4091" width="7.8984375" customWidth="1"/>
    <col min="4093" max="4093" width="27.3984375" customWidth="1"/>
    <col min="4094" max="4094" width="1.69921875" customWidth="1"/>
    <col min="4095" max="4095" width="10.3984375" customWidth="1"/>
    <col min="4096" max="4096" width="1.09765625" customWidth="1"/>
    <col min="4097" max="4097" width="9.5" customWidth="1"/>
    <col min="4098" max="4098" width="1.3984375" customWidth="1"/>
    <col min="4099" max="4099" width="11" customWidth="1"/>
    <col min="4100" max="4100" width="1.3984375" customWidth="1"/>
    <col min="4101" max="4101" width="15.69921875" customWidth="1"/>
    <col min="4102" max="4102" width="1.3984375" customWidth="1"/>
    <col min="4103" max="4103" width="8.5" customWidth="1"/>
    <col min="4104" max="4105" width="12.19921875" customWidth="1"/>
    <col min="4106" max="4106" width="9.3984375" customWidth="1"/>
    <col min="4107" max="4107" width="8.5" customWidth="1"/>
    <col min="4108" max="4108" width="15.69921875" customWidth="1"/>
    <col min="4109" max="4347" width="7.8984375" customWidth="1"/>
    <col min="4349" max="4349" width="27.3984375" customWidth="1"/>
    <col min="4350" max="4350" width="1.69921875" customWidth="1"/>
    <col min="4351" max="4351" width="10.3984375" customWidth="1"/>
    <col min="4352" max="4352" width="1.09765625" customWidth="1"/>
    <col min="4353" max="4353" width="9.5" customWidth="1"/>
    <col min="4354" max="4354" width="1.3984375" customWidth="1"/>
    <col min="4355" max="4355" width="11" customWidth="1"/>
    <col min="4356" max="4356" width="1.3984375" customWidth="1"/>
    <col min="4357" max="4357" width="15.69921875" customWidth="1"/>
    <col min="4358" max="4358" width="1.3984375" customWidth="1"/>
    <col min="4359" max="4359" width="8.5" customWidth="1"/>
    <col min="4360" max="4361" width="12.19921875" customWidth="1"/>
    <col min="4362" max="4362" width="9.3984375" customWidth="1"/>
    <col min="4363" max="4363" width="8.5" customWidth="1"/>
    <col min="4364" max="4364" width="15.69921875" customWidth="1"/>
    <col min="4365" max="4603" width="7.8984375" customWidth="1"/>
    <col min="4605" max="4605" width="27.3984375" customWidth="1"/>
    <col min="4606" max="4606" width="1.69921875" customWidth="1"/>
    <col min="4607" max="4607" width="10.3984375" customWidth="1"/>
    <col min="4608" max="4608" width="1.09765625" customWidth="1"/>
    <col min="4609" max="4609" width="9.5" customWidth="1"/>
    <col min="4610" max="4610" width="1.3984375" customWidth="1"/>
    <col min="4611" max="4611" width="11" customWidth="1"/>
    <col min="4612" max="4612" width="1.3984375" customWidth="1"/>
    <col min="4613" max="4613" width="15.69921875" customWidth="1"/>
    <col min="4614" max="4614" width="1.3984375" customWidth="1"/>
    <col min="4615" max="4615" width="8.5" customWidth="1"/>
    <col min="4616" max="4617" width="12.19921875" customWidth="1"/>
    <col min="4618" max="4618" width="9.3984375" customWidth="1"/>
    <col min="4619" max="4619" width="8.5" customWidth="1"/>
    <col min="4620" max="4620" width="15.69921875" customWidth="1"/>
    <col min="4621" max="4859" width="7.8984375" customWidth="1"/>
    <col min="4861" max="4861" width="27.3984375" customWidth="1"/>
    <col min="4862" max="4862" width="1.69921875" customWidth="1"/>
    <col min="4863" max="4863" width="10.3984375" customWidth="1"/>
    <col min="4864" max="4864" width="1.09765625" customWidth="1"/>
    <col min="4865" max="4865" width="9.5" customWidth="1"/>
    <col min="4866" max="4866" width="1.3984375" customWidth="1"/>
    <col min="4867" max="4867" width="11" customWidth="1"/>
    <col min="4868" max="4868" width="1.3984375" customWidth="1"/>
    <col min="4869" max="4869" width="15.69921875" customWidth="1"/>
    <col min="4870" max="4870" width="1.3984375" customWidth="1"/>
    <col min="4871" max="4871" width="8.5" customWidth="1"/>
    <col min="4872" max="4873" width="12.19921875" customWidth="1"/>
    <col min="4874" max="4874" width="9.3984375" customWidth="1"/>
    <col min="4875" max="4875" width="8.5" customWidth="1"/>
    <col min="4876" max="4876" width="15.69921875" customWidth="1"/>
    <col min="4877" max="5115" width="7.8984375" customWidth="1"/>
    <col min="5117" max="5117" width="27.3984375" customWidth="1"/>
    <col min="5118" max="5118" width="1.69921875" customWidth="1"/>
    <col min="5119" max="5119" width="10.3984375" customWidth="1"/>
    <col min="5120" max="5120" width="1.09765625" customWidth="1"/>
    <col min="5121" max="5121" width="9.5" customWidth="1"/>
    <col min="5122" max="5122" width="1.3984375" customWidth="1"/>
    <col min="5123" max="5123" width="11" customWidth="1"/>
    <col min="5124" max="5124" width="1.3984375" customWidth="1"/>
    <col min="5125" max="5125" width="15.69921875" customWidth="1"/>
    <col min="5126" max="5126" width="1.3984375" customWidth="1"/>
    <col min="5127" max="5127" width="8.5" customWidth="1"/>
    <col min="5128" max="5129" width="12.19921875" customWidth="1"/>
    <col min="5130" max="5130" width="9.3984375" customWidth="1"/>
    <col min="5131" max="5131" width="8.5" customWidth="1"/>
    <col min="5132" max="5132" width="15.69921875" customWidth="1"/>
    <col min="5133" max="5371" width="7.8984375" customWidth="1"/>
    <col min="5373" max="5373" width="27.3984375" customWidth="1"/>
    <col min="5374" max="5374" width="1.69921875" customWidth="1"/>
    <col min="5375" max="5375" width="10.3984375" customWidth="1"/>
    <col min="5376" max="5376" width="1.09765625" customWidth="1"/>
    <col min="5377" max="5377" width="9.5" customWidth="1"/>
    <col min="5378" max="5378" width="1.3984375" customWidth="1"/>
    <col min="5379" max="5379" width="11" customWidth="1"/>
    <col min="5380" max="5380" width="1.3984375" customWidth="1"/>
    <col min="5381" max="5381" width="15.69921875" customWidth="1"/>
    <col min="5382" max="5382" width="1.3984375" customWidth="1"/>
    <col min="5383" max="5383" width="8.5" customWidth="1"/>
    <col min="5384" max="5385" width="12.19921875" customWidth="1"/>
    <col min="5386" max="5386" width="9.3984375" customWidth="1"/>
    <col min="5387" max="5387" width="8.5" customWidth="1"/>
    <col min="5388" max="5388" width="15.69921875" customWidth="1"/>
    <col min="5389" max="5627" width="7.8984375" customWidth="1"/>
    <col min="5629" max="5629" width="27.3984375" customWidth="1"/>
    <col min="5630" max="5630" width="1.69921875" customWidth="1"/>
    <col min="5631" max="5631" width="10.3984375" customWidth="1"/>
    <col min="5632" max="5632" width="1.09765625" customWidth="1"/>
    <col min="5633" max="5633" width="9.5" customWidth="1"/>
    <col min="5634" max="5634" width="1.3984375" customWidth="1"/>
    <col min="5635" max="5635" width="11" customWidth="1"/>
    <col min="5636" max="5636" width="1.3984375" customWidth="1"/>
    <col min="5637" max="5637" width="15.69921875" customWidth="1"/>
    <col min="5638" max="5638" width="1.3984375" customWidth="1"/>
    <col min="5639" max="5639" width="8.5" customWidth="1"/>
    <col min="5640" max="5641" width="12.19921875" customWidth="1"/>
    <col min="5642" max="5642" width="9.3984375" customWidth="1"/>
    <col min="5643" max="5643" width="8.5" customWidth="1"/>
    <col min="5644" max="5644" width="15.69921875" customWidth="1"/>
    <col min="5645" max="5883" width="7.8984375" customWidth="1"/>
    <col min="5885" max="5885" width="27.3984375" customWidth="1"/>
    <col min="5886" max="5886" width="1.69921875" customWidth="1"/>
    <col min="5887" max="5887" width="10.3984375" customWidth="1"/>
    <col min="5888" max="5888" width="1.09765625" customWidth="1"/>
    <col min="5889" max="5889" width="9.5" customWidth="1"/>
    <col min="5890" max="5890" width="1.3984375" customWidth="1"/>
    <col min="5891" max="5891" width="11" customWidth="1"/>
    <col min="5892" max="5892" width="1.3984375" customWidth="1"/>
    <col min="5893" max="5893" width="15.69921875" customWidth="1"/>
    <col min="5894" max="5894" width="1.3984375" customWidth="1"/>
    <col min="5895" max="5895" width="8.5" customWidth="1"/>
    <col min="5896" max="5897" width="12.19921875" customWidth="1"/>
    <col min="5898" max="5898" width="9.3984375" customWidth="1"/>
    <col min="5899" max="5899" width="8.5" customWidth="1"/>
    <col min="5900" max="5900" width="15.69921875" customWidth="1"/>
    <col min="5901" max="6139" width="7.8984375" customWidth="1"/>
    <col min="6141" max="6141" width="27.3984375" customWidth="1"/>
    <col min="6142" max="6142" width="1.69921875" customWidth="1"/>
    <col min="6143" max="6143" width="10.3984375" customWidth="1"/>
    <col min="6144" max="6144" width="1.09765625" customWidth="1"/>
    <col min="6145" max="6145" width="9.5" customWidth="1"/>
    <col min="6146" max="6146" width="1.3984375" customWidth="1"/>
    <col min="6147" max="6147" width="11" customWidth="1"/>
    <col min="6148" max="6148" width="1.3984375" customWidth="1"/>
    <col min="6149" max="6149" width="15.69921875" customWidth="1"/>
    <col min="6150" max="6150" width="1.3984375" customWidth="1"/>
    <col min="6151" max="6151" width="8.5" customWidth="1"/>
    <col min="6152" max="6153" width="12.19921875" customWidth="1"/>
    <col min="6154" max="6154" width="9.3984375" customWidth="1"/>
    <col min="6155" max="6155" width="8.5" customWidth="1"/>
    <col min="6156" max="6156" width="15.69921875" customWidth="1"/>
    <col min="6157" max="6395" width="7.8984375" customWidth="1"/>
    <col min="6397" max="6397" width="27.3984375" customWidth="1"/>
    <col min="6398" max="6398" width="1.69921875" customWidth="1"/>
    <col min="6399" max="6399" width="10.3984375" customWidth="1"/>
    <col min="6400" max="6400" width="1.09765625" customWidth="1"/>
    <col min="6401" max="6401" width="9.5" customWidth="1"/>
    <col min="6402" max="6402" width="1.3984375" customWidth="1"/>
    <col min="6403" max="6403" width="11" customWidth="1"/>
    <col min="6404" max="6404" width="1.3984375" customWidth="1"/>
    <col min="6405" max="6405" width="15.69921875" customWidth="1"/>
    <col min="6406" max="6406" width="1.3984375" customWidth="1"/>
    <col min="6407" max="6407" width="8.5" customWidth="1"/>
    <col min="6408" max="6409" width="12.19921875" customWidth="1"/>
    <col min="6410" max="6410" width="9.3984375" customWidth="1"/>
    <col min="6411" max="6411" width="8.5" customWidth="1"/>
    <col min="6412" max="6412" width="15.69921875" customWidth="1"/>
    <col min="6413" max="6651" width="7.8984375" customWidth="1"/>
    <col min="6653" max="6653" width="27.3984375" customWidth="1"/>
    <col min="6654" max="6654" width="1.69921875" customWidth="1"/>
    <col min="6655" max="6655" width="10.3984375" customWidth="1"/>
    <col min="6656" max="6656" width="1.09765625" customWidth="1"/>
    <col min="6657" max="6657" width="9.5" customWidth="1"/>
    <col min="6658" max="6658" width="1.3984375" customWidth="1"/>
    <col min="6659" max="6659" width="11" customWidth="1"/>
    <col min="6660" max="6660" width="1.3984375" customWidth="1"/>
    <col min="6661" max="6661" width="15.69921875" customWidth="1"/>
    <col min="6662" max="6662" width="1.3984375" customWidth="1"/>
    <col min="6663" max="6663" width="8.5" customWidth="1"/>
    <col min="6664" max="6665" width="12.19921875" customWidth="1"/>
    <col min="6666" max="6666" width="9.3984375" customWidth="1"/>
    <col min="6667" max="6667" width="8.5" customWidth="1"/>
    <col min="6668" max="6668" width="15.69921875" customWidth="1"/>
    <col min="6669" max="6907" width="7.8984375" customWidth="1"/>
    <col min="6909" max="6909" width="27.3984375" customWidth="1"/>
    <col min="6910" max="6910" width="1.69921875" customWidth="1"/>
    <col min="6911" max="6911" width="10.3984375" customWidth="1"/>
    <col min="6912" max="6912" width="1.09765625" customWidth="1"/>
    <col min="6913" max="6913" width="9.5" customWidth="1"/>
    <col min="6914" max="6914" width="1.3984375" customWidth="1"/>
    <col min="6915" max="6915" width="11" customWidth="1"/>
    <col min="6916" max="6916" width="1.3984375" customWidth="1"/>
    <col min="6917" max="6917" width="15.69921875" customWidth="1"/>
    <col min="6918" max="6918" width="1.3984375" customWidth="1"/>
    <col min="6919" max="6919" width="8.5" customWidth="1"/>
    <col min="6920" max="6921" width="12.19921875" customWidth="1"/>
    <col min="6922" max="6922" width="9.3984375" customWidth="1"/>
    <col min="6923" max="6923" width="8.5" customWidth="1"/>
    <col min="6924" max="6924" width="15.69921875" customWidth="1"/>
    <col min="6925" max="7163" width="7.8984375" customWidth="1"/>
    <col min="7165" max="7165" width="27.3984375" customWidth="1"/>
    <col min="7166" max="7166" width="1.69921875" customWidth="1"/>
    <col min="7167" max="7167" width="10.3984375" customWidth="1"/>
    <col min="7168" max="7168" width="1.09765625" customWidth="1"/>
    <col min="7169" max="7169" width="9.5" customWidth="1"/>
    <col min="7170" max="7170" width="1.3984375" customWidth="1"/>
    <col min="7171" max="7171" width="11" customWidth="1"/>
    <col min="7172" max="7172" width="1.3984375" customWidth="1"/>
    <col min="7173" max="7173" width="15.69921875" customWidth="1"/>
    <col min="7174" max="7174" width="1.3984375" customWidth="1"/>
    <col min="7175" max="7175" width="8.5" customWidth="1"/>
    <col min="7176" max="7177" width="12.19921875" customWidth="1"/>
    <col min="7178" max="7178" width="9.3984375" customWidth="1"/>
    <col min="7179" max="7179" width="8.5" customWidth="1"/>
    <col min="7180" max="7180" width="15.69921875" customWidth="1"/>
    <col min="7181" max="7419" width="7.8984375" customWidth="1"/>
    <col min="7421" max="7421" width="27.3984375" customWidth="1"/>
    <col min="7422" max="7422" width="1.69921875" customWidth="1"/>
    <col min="7423" max="7423" width="10.3984375" customWidth="1"/>
    <col min="7424" max="7424" width="1.09765625" customWidth="1"/>
    <col min="7425" max="7425" width="9.5" customWidth="1"/>
    <col min="7426" max="7426" width="1.3984375" customWidth="1"/>
    <col min="7427" max="7427" width="11" customWidth="1"/>
    <col min="7428" max="7428" width="1.3984375" customWidth="1"/>
    <col min="7429" max="7429" width="15.69921875" customWidth="1"/>
    <col min="7430" max="7430" width="1.3984375" customWidth="1"/>
    <col min="7431" max="7431" width="8.5" customWidth="1"/>
    <col min="7432" max="7433" width="12.19921875" customWidth="1"/>
    <col min="7434" max="7434" width="9.3984375" customWidth="1"/>
    <col min="7435" max="7435" width="8.5" customWidth="1"/>
    <col min="7436" max="7436" width="15.69921875" customWidth="1"/>
    <col min="7437" max="7675" width="7.8984375" customWidth="1"/>
    <col min="7677" max="7677" width="27.3984375" customWidth="1"/>
    <col min="7678" max="7678" width="1.69921875" customWidth="1"/>
    <col min="7679" max="7679" width="10.3984375" customWidth="1"/>
    <col min="7680" max="7680" width="1.09765625" customWidth="1"/>
    <col min="7681" max="7681" width="9.5" customWidth="1"/>
    <col min="7682" max="7682" width="1.3984375" customWidth="1"/>
    <col min="7683" max="7683" width="11" customWidth="1"/>
    <col min="7684" max="7684" width="1.3984375" customWidth="1"/>
    <col min="7685" max="7685" width="15.69921875" customWidth="1"/>
    <col min="7686" max="7686" width="1.3984375" customWidth="1"/>
    <col min="7687" max="7687" width="8.5" customWidth="1"/>
    <col min="7688" max="7689" width="12.19921875" customWidth="1"/>
    <col min="7690" max="7690" width="9.3984375" customWidth="1"/>
    <col min="7691" max="7691" width="8.5" customWidth="1"/>
    <col min="7692" max="7692" width="15.69921875" customWidth="1"/>
    <col min="7693" max="7931" width="7.8984375" customWidth="1"/>
    <col min="7933" max="7933" width="27.3984375" customWidth="1"/>
    <col min="7934" max="7934" width="1.69921875" customWidth="1"/>
    <col min="7935" max="7935" width="10.3984375" customWidth="1"/>
    <col min="7936" max="7936" width="1.09765625" customWidth="1"/>
    <col min="7937" max="7937" width="9.5" customWidth="1"/>
    <col min="7938" max="7938" width="1.3984375" customWidth="1"/>
    <col min="7939" max="7939" width="11" customWidth="1"/>
    <col min="7940" max="7940" width="1.3984375" customWidth="1"/>
    <col min="7941" max="7941" width="15.69921875" customWidth="1"/>
    <col min="7942" max="7942" width="1.3984375" customWidth="1"/>
    <col min="7943" max="7943" width="8.5" customWidth="1"/>
    <col min="7944" max="7945" width="12.19921875" customWidth="1"/>
    <col min="7946" max="7946" width="9.3984375" customWidth="1"/>
    <col min="7947" max="7947" width="8.5" customWidth="1"/>
    <col min="7948" max="7948" width="15.69921875" customWidth="1"/>
    <col min="7949" max="8187" width="7.8984375" customWidth="1"/>
    <col min="8189" max="8189" width="27.3984375" customWidth="1"/>
    <col min="8190" max="8190" width="1.69921875" customWidth="1"/>
    <col min="8191" max="8191" width="10.3984375" customWidth="1"/>
    <col min="8192" max="8192" width="1.09765625" customWidth="1"/>
    <col min="8193" max="8193" width="9.5" customWidth="1"/>
    <col min="8194" max="8194" width="1.3984375" customWidth="1"/>
    <col min="8195" max="8195" width="11" customWidth="1"/>
    <col min="8196" max="8196" width="1.3984375" customWidth="1"/>
    <col min="8197" max="8197" width="15.69921875" customWidth="1"/>
    <col min="8198" max="8198" width="1.3984375" customWidth="1"/>
    <col min="8199" max="8199" width="8.5" customWidth="1"/>
    <col min="8200" max="8201" width="12.19921875" customWidth="1"/>
    <col min="8202" max="8202" width="9.3984375" customWidth="1"/>
    <col min="8203" max="8203" width="8.5" customWidth="1"/>
    <col min="8204" max="8204" width="15.69921875" customWidth="1"/>
    <col min="8205" max="8443" width="7.8984375" customWidth="1"/>
    <col min="8445" max="8445" width="27.3984375" customWidth="1"/>
    <col min="8446" max="8446" width="1.69921875" customWidth="1"/>
    <col min="8447" max="8447" width="10.3984375" customWidth="1"/>
    <col min="8448" max="8448" width="1.09765625" customWidth="1"/>
    <col min="8449" max="8449" width="9.5" customWidth="1"/>
    <col min="8450" max="8450" width="1.3984375" customWidth="1"/>
    <col min="8451" max="8451" width="11" customWidth="1"/>
    <col min="8452" max="8452" width="1.3984375" customWidth="1"/>
    <col min="8453" max="8453" width="15.69921875" customWidth="1"/>
    <col min="8454" max="8454" width="1.3984375" customWidth="1"/>
    <col min="8455" max="8455" width="8.5" customWidth="1"/>
    <col min="8456" max="8457" width="12.19921875" customWidth="1"/>
    <col min="8458" max="8458" width="9.3984375" customWidth="1"/>
    <col min="8459" max="8459" width="8.5" customWidth="1"/>
    <col min="8460" max="8460" width="15.69921875" customWidth="1"/>
    <col min="8461" max="8699" width="7.8984375" customWidth="1"/>
    <col min="8701" max="8701" width="27.3984375" customWidth="1"/>
    <col min="8702" max="8702" width="1.69921875" customWidth="1"/>
    <col min="8703" max="8703" width="10.3984375" customWidth="1"/>
    <col min="8704" max="8704" width="1.09765625" customWidth="1"/>
    <col min="8705" max="8705" width="9.5" customWidth="1"/>
    <col min="8706" max="8706" width="1.3984375" customWidth="1"/>
    <col min="8707" max="8707" width="11" customWidth="1"/>
    <col min="8708" max="8708" width="1.3984375" customWidth="1"/>
    <col min="8709" max="8709" width="15.69921875" customWidth="1"/>
    <col min="8710" max="8710" width="1.3984375" customWidth="1"/>
    <col min="8711" max="8711" width="8.5" customWidth="1"/>
    <col min="8712" max="8713" width="12.19921875" customWidth="1"/>
    <col min="8714" max="8714" width="9.3984375" customWidth="1"/>
    <col min="8715" max="8715" width="8.5" customWidth="1"/>
    <col min="8716" max="8716" width="15.69921875" customWidth="1"/>
    <col min="8717" max="8955" width="7.8984375" customWidth="1"/>
    <col min="8957" max="8957" width="27.3984375" customWidth="1"/>
    <col min="8958" max="8958" width="1.69921875" customWidth="1"/>
    <col min="8959" max="8959" width="10.3984375" customWidth="1"/>
    <col min="8960" max="8960" width="1.09765625" customWidth="1"/>
    <col min="8961" max="8961" width="9.5" customWidth="1"/>
    <col min="8962" max="8962" width="1.3984375" customWidth="1"/>
    <col min="8963" max="8963" width="11" customWidth="1"/>
    <col min="8964" max="8964" width="1.3984375" customWidth="1"/>
    <col min="8965" max="8965" width="15.69921875" customWidth="1"/>
    <col min="8966" max="8966" width="1.3984375" customWidth="1"/>
    <col min="8967" max="8967" width="8.5" customWidth="1"/>
    <col min="8968" max="8969" width="12.19921875" customWidth="1"/>
    <col min="8970" max="8970" width="9.3984375" customWidth="1"/>
    <col min="8971" max="8971" width="8.5" customWidth="1"/>
    <col min="8972" max="8972" width="15.69921875" customWidth="1"/>
    <col min="8973" max="9211" width="7.8984375" customWidth="1"/>
    <col min="9213" max="9213" width="27.3984375" customWidth="1"/>
    <col min="9214" max="9214" width="1.69921875" customWidth="1"/>
    <col min="9215" max="9215" width="10.3984375" customWidth="1"/>
    <col min="9216" max="9216" width="1.09765625" customWidth="1"/>
    <col min="9217" max="9217" width="9.5" customWidth="1"/>
    <col min="9218" max="9218" width="1.3984375" customWidth="1"/>
    <col min="9219" max="9219" width="11" customWidth="1"/>
    <col min="9220" max="9220" width="1.3984375" customWidth="1"/>
    <col min="9221" max="9221" width="15.69921875" customWidth="1"/>
    <col min="9222" max="9222" width="1.3984375" customWidth="1"/>
    <col min="9223" max="9223" width="8.5" customWidth="1"/>
    <col min="9224" max="9225" width="12.19921875" customWidth="1"/>
    <col min="9226" max="9226" width="9.3984375" customWidth="1"/>
    <col min="9227" max="9227" width="8.5" customWidth="1"/>
    <col min="9228" max="9228" width="15.69921875" customWidth="1"/>
    <col min="9229" max="9467" width="7.8984375" customWidth="1"/>
    <col min="9469" max="9469" width="27.3984375" customWidth="1"/>
    <col min="9470" max="9470" width="1.69921875" customWidth="1"/>
    <col min="9471" max="9471" width="10.3984375" customWidth="1"/>
    <col min="9472" max="9472" width="1.09765625" customWidth="1"/>
    <col min="9473" max="9473" width="9.5" customWidth="1"/>
    <col min="9474" max="9474" width="1.3984375" customWidth="1"/>
    <col min="9475" max="9475" width="11" customWidth="1"/>
    <col min="9476" max="9476" width="1.3984375" customWidth="1"/>
    <col min="9477" max="9477" width="15.69921875" customWidth="1"/>
    <col min="9478" max="9478" width="1.3984375" customWidth="1"/>
    <col min="9479" max="9479" width="8.5" customWidth="1"/>
    <col min="9480" max="9481" width="12.19921875" customWidth="1"/>
    <col min="9482" max="9482" width="9.3984375" customWidth="1"/>
    <col min="9483" max="9483" width="8.5" customWidth="1"/>
    <col min="9484" max="9484" width="15.69921875" customWidth="1"/>
    <col min="9485" max="9723" width="7.8984375" customWidth="1"/>
    <col min="9725" max="9725" width="27.3984375" customWidth="1"/>
    <col min="9726" max="9726" width="1.69921875" customWidth="1"/>
    <col min="9727" max="9727" width="10.3984375" customWidth="1"/>
    <col min="9728" max="9728" width="1.09765625" customWidth="1"/>
    <col min="9729" max="9729" width="9.5" customWidth="1"/>
    <col min="9730" max="9730" width="1.3984375" customWidth="1"/>
    <col min="9731" max="9731" width="11" customWidth="1"/>
    <col min="9732" max="9732" width="1.3984375" customWidth="1"/>
    <col min="9733" max="9733" width="15.69921875" customWidth="1"/>
    <col min="9734" max="9734" width="1.3984375" customWidth="1"/>
    <col min="9735" max="9735" width="8.5" customWidth="1"/>
    <col min="9736" max="9737" width="12.19921875" customWidth="1"/>
    <col min="9738" max="9738" width="9.3984375" customWidth="1"/>
    <col min="9739" max="9739" width="8.5" customWidth="1"/>
    <col min="9740" max="9740" width="15.69921875" customWidth="1"/>
    <col min="9741" max="9979" width="7.8984375" customWidth="1"/>
    <col min="9981" max="9981" width="27.3984375" customWidth="1"/>
    <col min="9982" max="9982" width="1.69921875" customWidth="1"/>
    <col min="9983" max="9983" width="10.3984375" customWidth="1"/>
    <col min="9984" max="9984" width="1.09765625" customWidth="1"/>
    <col min="9985" max="9985" width="9.5" customWidth="1"/>
    <col min="9986" max="9986" width="1.3984375" customWidth="1"/>
    <col min="9987" max="9987" width="11" customWidth="1"/>
    <col min="9988" max="9988" width="1.3984375" customWidth="1"/>
    <col min="9989" max="9989" width="15.69921875" customWidth="1"/>
    <col min="9990" max="9990" width="1.3984375" customWidth="1"/>
    <col min="9991" max="9991" width="8.5" customWidth="1"/>
    <col min="9992" max="9993" width="12.19921875" customWidth="1"/>
    <col min="9994" max="9994" width="9.3984375" customWidth="1"/>
    <col min="9995" max="9995" width="8.5" customWidth="1"/>
    <col min="9996" max="9996" width="15.69921875" customWidth="1"/>
    <col min="9997" max="10235" width="7.8984375" customWidth="1"/>
    <col min="10237" max="10237" width="27.3984375" customWidth="1"/>
    <col min="10238" max="10238" width="1.69921875" customWidth="1"/>
    <col min="10239" max="10239" width="10.3984375" customWidth="1"/>
    <col min="10240" max="10240" width="1.09765625" customWidth="1"/>
    <col min="10241" max="10241" width="9.5" customWidth="1"/>
    <col min="10242" max="10242" width="1.3984375" customWidth="1"/>
    <col min="10243" max="10243" width="11" customWidth="1"/>
    <col min="10244" max="10244" width="1.3984375" customWidth="1"/>
    <col min="10245" max="10245" width="15.69921875" customWidth="1"/>
    <col min="10246" max="10246" width="1.3984375" customWidth="1"/>
    <col min="10247" max="10247" width="8.5" customWidth="1"/>
    <col min="10248" max="10249" width="12.19921875" customWidth="1"/>
    <col min="10250" max="10250" width="9.3984375" customWidth="1"/>
    <col min="10251" max="10251" width="8.5" customWidth="1"/>
    <col min="10252" max="10252" width="15.69921875" customWidth="1"/>
    <col min="10253" max="10491" width="7.8984375" customWidth="1"/>
    <col min="10493" max="10493" width="27.3984375" customWidth="1"/>
    <col min="10494" max="10494" width="1.69921875" customWidth="1"/>
    <col min="10495" max="10495" width="10.3984375" customWidth="1"/>
    <col min="10496" max="10496" width="1.09765625" customWidth="1"/>
    <col min="10497" max="10497" width="9.5" customWidth="1"/>
    <col min="10498" max="10498" width="1.3984375" customWidth="1"/>
    <col min="10499" max="10499" width="11" customWidth="1"/>
    <col min="10500" max="10500" width="1.3984375" customWidth="1"/>
    <col min="10501" max="10501" width="15.69921875" customWidth="1"/>
    <col min="10502" max="10502" width="1.3984375" customWidth="1"/>
    <col min="10503" max="10503" width="8.5" customWidth="1"/>
    <col min="10504" max="10505" width="12.19921875" customWidth="1"/>
    <col min="10506" max="10506" width="9.3984375" customWidth="1"/>
    <col min="10507" max="10507" width="8.5" customWidth="1"/>
    <col min="10508" max="10508" width="15.69921875" customWidth="1"/>
    <col min="10509" max="10747" width="7.8984375" customWidth="1"/>
    <col min="10749" max="10749" width="27.3984375" customWidth="1"/>
    <col min="10750" max="10750" width="1.69921875" customWidth="1"/>
    <col min="10751" max="10751" width="10.3984375" customWidth="1"/>
    <col min="10752" max="10752" width="1.09765625" customWidth="1"/>
    <col min="10753" max="10753" width="9.5" customWidth="1"/>
    <col min="10754" max="10754" width="1.3984375" customWidth="1"/>
    <col min="10755" max="10755" width="11" customWidth="1"/>
    <col min="10756" max="10756" width="1.3984375" customWidth="1"/>
    <col min="10757" max="10757" width="15.69921875" customWidth="1"/>
    <col min="10758" max="10758" width="1.3984375" customWidth="1"/>
    <col min="10759" max="10759" width="8.5" customWidth="1"/>
    <col min="10760" max="10761" width="12.19921875" customWidth="1"/>
    <col min="10762" max="10762" width="9.3984375" customWidth="1"/>
    <col min="10763" max="10763" width="8.5" customWidth="1"/>
    <col min="10764" max="10764" width="15.69921875" customWidth="1"/>
    <col min="10765" max="11003" width="7.8984375" customWidth="1"/>
    <col min="11005" max="11005" width="27.3984375" customWidth="1"/>
    <col min="11006" max="11006" width="1.69921875" customWidth="1"/>
    <col min="11007" max="11007" width="10.3984375" customWidth="1"/>
    <col min="11008" max="11008" width="1.09765625" customWidth="1"/>
    <col min="11009" max="11009" width="9.5" customWidth="1"/>
    <col min="11010" max="11010" width="1.3984375" customWidth="1"/>
    <col min="11011" max="11011" width="11" customWidth="1"/>
    <col min="11012" max="11012" width="1.3984375" customWidth="1"/>
    <col min="11013" max="11013" width="15.69921875" customWidth="1"/>
    <col min="11014" max="11014" width="1.3984375" customWidth="1"/>
    <col min="11015" max="11015" width="8.5" customWidth="1"/>
    <col min="11016" max="11017" width="12.19921875" customWidth="1"/>
    <col min="11018" max="11018" width="9.3984375" customWidth="1"/>
    <col min="11019" max="11019" width="8.5" customWidth="1"/>
    <col min="11020" max="11020" width="15.69921875" customWidth="1"/>
    <col min="11021" max="11259" width="7.8984375" customWidth="1"/>
    <col min="11261" max="11261" width="27.3984375" customWidth="1"/>
    <col min="11262" max="11262" width="1.69921875" customWidth="1"/>
    <col min="11263" max="11263" width="10.3984375" customWidth="1"/>
    <col min="11264" max="11264" width="1.09765625" customWidth="1"/>
    <col min="11265" max="11265" width="9.5" customWidth="1"/>
    <col min="11266" max="11266" width="1.3984375" customWidth="1"/>
    <col min="11267" max="11267" width="11" customWidth="1"/>
    <col min="11268" max="11268" width="1.3984375" customWidth="1"/>
    <col min="11269" max="11269" width="15.69921875" customWidth="1"/>
    <col min="11270" max="11270" width="1.3984375" customWidth="1"/>
    <col min="11271" max="11271" width="8.5" customWidth="1"/>
    <col min="11272" max="11273" width="12.19921875" customWidth="1"/>
    <col min="11274" max="11274" width="9.3984375" customWidth="1"/>
    <col min="11275" max="11275" width="8.5" customWidth="1"/>
    <col min="11276" max="11276" width="15.69921875" customWidth="1"/>
    <col min="11277" max="11515" width="7.8984375" customWidth="1"/>
    <col min="11517" max="11517" width="27.3984375" customWidth="1"/>
    <col min="11518" max="11518" width="1.69921875" customWidth="1"/>
    <col min="11519" max="11519" width="10.3984375" customWidth="1"/>
    <col min="11520" max="11520" width="1.09765625" customWidth="1"/>
    <col min="11521" max="11521" width="9.5" customWidth="1"/>
    <col min="11522" max="11522" width="1.3984375" customWidth="1"/>
    <col min="11523" max="11523" width="11" customWidth="1"/>
    <col min="11524" max="11524" width="1.3984375" customWidth="1"/>
    <col min="11525" max="11525" width="15.69921875" customWidth="1"/>
    <col min="11526" max="11526" width="1.3984375" customWidth="1"/>
    <col min="11527" max="11527" width="8.5" customWidth="1"/>
    <col min="11528" max="11529" width="12.19921875" customWidth="1"/>
    <col min="11530" max="11530" width="9.3984375" customWidth="1"/>
    <col min="11531" max="11531" width="8.5" customWidth="1"/>
    <col min="11532" max="11532" width="15.69921875" customWidth="1"/>
    <col min="11533" max="11771" width="7.8984375" customWidth="1"/>
    <col min="11773" max="11773" width="27.3984375" customWidth="1"/>
    <col min="11774" max="11774" width="1.69921875" customWidth="1"/>
    <col min="11775" max="11775" width="10.3984375" customWidth="1"/>
    <col min="11776" max="11776" width="1.09765625" customWidth="1"/>
    <col min="11777" max="11777" width="9.5" customWidth="1"/>
    <col min="11778" max="11778" width="1.3984375" customWidth="1"/>
    <col min="11779" max="11779" width="11" customWidth="1"/>
    <col min="11780" max="11780" width="1.3984375" customWidth="1"/>
    <col min="11781" max="11781" width="15.69921875" customWidth="1"/>
    <col min="11782" max="11782" width="1.3984375" customWidth="1"/>
    <col min="11783" max="11783" width="8.5" customWidth="1"/>
    <col min="11784" max="11785" width="12.19921875" customWidth="1"/>
    <col min="11786" max="11786" width="9.3984375" customWidth="1"/>
    <col min="11787" max="11787" width="8.5" customWidth="1"/>
    <col min="11788" max="11788" width="15.69921875" customWidth="1"/>
    <col min="11789" max="12027" width="7.8984375" customWidth="1"/>
    <col min="12029" max="12029" width="27.3984375" customWidth="1"/>
    <col min="12030" max="12030" width="1.69921875" customWidth="1"/>
    <col min="12031" max="12031" width="10.3984375" customWidth="1"/>
    <col min="12032" max="12032" width="1.09765625" customWidth="1"/>
    <col min="12033" max="12033" width="9.5" customWidth="1"/>
    <col min="12034" max="12034" width="1.3984375" customWidth="1"/>
    <col min="12035" max="12035" width="11" customWidth="1"/>
    <col min="12036" max="12036" width="1.3984375" customWidth="1"/>
    <col min="12037" max="12037" width="15.69921875" customWidth="1"/>
    <col min="12038" max="12038" width="1.3984375" customWidth="1"/>
    <col min="12039" max="12039" width="8.5" customWidth="1"/>
    <col min="12040" max="12041" width="12.19921875" customWidth="1"/>
    <col min="12042" max="12042" width="9.3984375" customWidth="1"/>
    <col min="12043" max="12043" width="8.5" customWidth="1"/>
    <col min="12044" max="12044" width="15.69921875" customWidth="1"/>
    <col min="12045" max="12283" width="7.8984375" customWidth="1"/>
    <col min="12285" max="12285" width="27.3984375" customWidth="1"/>
    <col min="12286" max="12286" width="1.69921875" customWidth="1"/>
    <col min="12287" max="12287" width="10.3984375" customWidth="1"/>
    <col min="12288" max="12288" width="1.09765625" customWidth="1"/>
    <col min="12289" max="12289" width="9.5" customWidth="1"/>
    <col min="12290" max="12290" width="1.3984375" customWidth="1"/>
    <col min="12291" max="12291" width="11" customWidth="1"/>
    <col min="12292" max="12292" width="1.3984375" customWidth="1"/>
    <col min="12293" max="12293" width="15.69921875" customWidth="1"/>
    <col min="12294" max="12294" width="1.3984375" customWidth="1"/>
    <col min="12295" max="12295" width="8.5" customWidth="1"/>
    <col min="12296" max="12297" width="12.19921875" customWidth="1"/>
    <col min="12298" max="12298" width="9.3984375" customWidth="1"/>
    <col min="12299" max="12299" width="8.5" customWidth="1"/>
    <col min="12300" max="12300" width="15.69921875" customWidth="1"/>
    <col min="12301" max="12539" width="7.8984375" customWidth="1"/>
    <col min="12541" max="12541" width="27.3984375" customWidth="1"/>
    <col min="12542" max="12542" width="1.69921875" customWidth="1"/>
    <col min="12543" max="12543" width="10.3984375" customWidth="1"/>
    <col min="12544" max="12544" width="1.09765625" customWidth="1"/>
    <col min="12545" max="12545" width="9.5" customWidth="1"/>
    <col min="12546" max="12546" width="1.3984375" customWidth="1"/>
    <col min="12547" max="12547" width="11" customWidth="1"/>
    <col min="12548" max="12548" width="1.3984375" customWidth="1"/>
    <col min="12549" max="12549" width="15.69921875" customWidth="1"/>
    <col min="12550" max="12550" width="1.3984375" customWidth="1"/>
    <col min="12551" max="12551" width="8.5" customWidth="1"/>
    <col min="12552" max="12553" width="12.19921875" customWidth="1"/>
    <col min="12554" max="12554" width="9.3984375" customWidth="1"/>
    <col min="12555" max="12555" width="8.5" customWidth="1"/>
    <col min="12556" max="12556" width="15.69921875" customWidth="1"/>
    <col min="12557" max="12795" width="7.8984375" customWidth="1"/>
    <col min="12797" max="12797" width="27.3984375" customWidth="1"/>
    <col min="12798" max="12798" width="1.69921875" customWidth="1"/>
    <col min="12799" max="12799" width="10.3984375" customWidth="1"/>
    <col min="12800" max="12800" width="1.09765625" customWidth="1"/>
    <col min="12801" max="12801" width="9.5" customWidth="1"/>
    <col min="12802" max="12802" width="1.3984375" customWidth="1"/>
    <col min="12803" max="12803" width="11" customWidth="1"/>
    <col min="12804" max="12804" width="1.3984375" customWidth="1"/>
    <col min="12805" max="12805" width="15.69921875" customWidth="1"/>
    <col min="12806" max="12806" width="1.3984375" customWidth="1"/>
    <col min="12807" max="12807" width="8.5" customWidth="1"/>
    <col min="12808" max="12809" width="12.19921875" customWidth="1"/>
    <col min="12810" max="12810" width="9.3984375" customWidth="1"/>
    <col min="12811" max="12811" width="8.5" customWidth="1"/>
    <col min="12812" max="12812" width="15.69921875" customWidth="1"/>
    <col min="12813" max="13051" width="7.8984375" customWidth="1"/>
    <col min="13053" max="13053" width="27.3984375" customWidth="1"/>
    <col min="13054" max="13054" width="1.69921875" customWidth="1"/>
    <col min="13055" max="13055" width="10.3984375" customWidth="1"/>
    <col min="13056" max="13056" width="1.09765625" customWidth="1"/>
    <col min="13057" max="13057" width="9.5" customWidth="1"/>
    <col min="13058" max="13058" width="1.3984375" customWidth="1"/>
    <col min="13059" max="13059" width="11" customWidth="1"/>
    <col min="13060" max="13060" width="1.3984375" customWidth="1"/>
    <col min="13061" max="13061" width="15.69921875" customWidth="1"/>
    <col min="13062" max="13062" width="1.3984375" customWidth="1"/>
    <col min="13063" max="13063" width="8.5" customWidth="1"/>
    <col min="13064" max="13065" width="12.19921875" customWidth="1"/>
    <col min="13066" max="13066" width="9.3984375" customWidth="1"/>
    <col min="13067" max="13067" width="8.5" customWidth="1"/>
    <col min="13068" max="13068" width="15.69921875" customWidth="1"/>
    <col min="13069" max="13307" width="7.8984375" customWidth="1"/>
    <col min="13309" max="13309" width="27.3984375" customWidth="1"/>
    <col min="13310" max="13310" width="1.69921875" customWidth="1"/>
    <col min="13311" max="13311" width="10.3984375" customWidth="1"/>
    <col min="13312" max="13312" width="1.09765625" customWidth="1"/>
    <col min="13313" max="13313" width="9.5" customWidth="1"/>
    <col min="13314" max="13314" width="1.3984375" customWidth="1"/>
    <col min="13315" max="13315" width="11" customWidth="1"/>
    <col min="13316" max="13316" width="1.3984375" customWidth="1"/>
    <col min="13317" max="13317" width="15.69921875" customWidth="1"/>
    <col min="13318" max="13318" width="1.3984375" customWidth="1"/>
    <col min="13319" max="13319" width="8.5" customWidth="1"/>
    <col min="13320" max="13321" width="12.19921875" customWidth="1"/>
    <col min="13322" max="13322" width="9.3984375" customWidth="1"/>
    <col min="13323" max="13323" width="8.5" customWidth="1"/>
    <col min="13324" max="13324" width="15.69921875" customWidth="1"/>
    <col min="13325" max="13563" width="7.8984375" customWidth="1"/>
    <col min="13565" max="13565" width="27.3984375" customWidth="1"/>
    <col min="13566" max="13566" width="1.69921875" customWidth="1"/>
    <col min="13567" max="13567" width="10.3984375" customWidth="1"/>
    <col min="13568" max="13568" width="1.09765625" customWidth="1"/>
    <col min="13569" max="13569" width="9.5" customWidth="1"/>
    <col min="13570" max="13570" width="1.3984375" customWidth="1"/>
    <col min="13571" max="13571" width="11" customWidth="1"/>
    <col min="13572" max="13572" width="1.3984375" customWidth="1"/>
    <col min="13573" max="13573" width="15.69921875" customWidth="1"/>
    <col min="13574" max="13574" width="1.3984375" customWidth="1"/>
    <col min="13575" max="13575" width="8.5" customWidth="1"/>
    <col min="13576" max="13577" width="12.19921875" customWidth="1"/>
    <col min="13578" max="13578" width="9.3984375" customWidth="1"/>
    <col min="13579" max="13579" width="8.5" customWidth="1"/>
    <col min="13580" max="13580" width="15.69921875" customWidth="1"/>
    <col min="13581" max="13819" width="7.8984375" customWidth="1"/>
    <col min="13821" max="13821" width="27.3984375" customWidth="1"/>
    <col min="13822" max="13822" width="1.69921875" customWidth="1"/>
    <col min="13823" max="13823" width="10.3984375" customWidth="1"/>
    <col min="13824" max="13824" width="1.09765625" customWidth="1"/>
    <col min="13825" max="13825" width="9.5" customWidth="1"/>
    <col min="13826" max="13826" width="1.3984375" customWidth="1"/>
    <col min="13827" max="13827" width="11" customWidth="1"/>
    <col min="13828" max="13828" width="1.3984375" customWidth="1"/>
    <col min="13829" max="13829" width="15.69921875" customWidth="1"/>
    <col min="13830" max="13830" width="1.3984375" customWidth="1"/>
    <col min="13831" max="13831" width="8.5" customWidth="1"/>
    <col min="13832" max="13833" width="12.19921875" customWidth="1"/>
    <col min="13834" max="13834" width="9.3984375" customWidth="1"/>
    <col min="13835" max="13835" width="8.5" customWidth="1"/>
    <col min="13836" max="13836" width="15.69921875" customWidth="1"/>
    <col min="13837" max="14075" width="7.8984375" customWidth="1"/>
    <col min="14077" max="14077" width="27.3984375" customWidth="1"/>
    <col min="14078" max="14078" width="1.69921875" customWidth="1"/>
    <col min="14079" max="14079" width="10.3984375" customWidth="1"/>
    <col min="14080" max="14080" width="1.09765625" customWidth="1"/>
    <col min="14081" max="14081" width="9.5" customWidth="1"/>
    <col min="14082" max="14082" width="1.3984375" customWidth="1"/>
    <col min="14083" max="14083" width="11" customWidth="1"/>
    <col min="14084" max="14084" width="1.3984375" customWidth="1"/>
    <col min="14085" max="14085" width="15.69921875" customWidth="1"/>
    <col min="14086" max="14086" width="1.3984375" customWidth="1"/>
    <col min="14087" max="14087" width="8.5" customWidth="1"/>
    <col min="14088" max="14089" width="12.19921875" customWidth="1"/>
    <col min="14090" max="14090" width="9.3984375" customWidth="1"/>
    <col min="14091" max="14091" width="8.5" customWidth="1"/>
    <col min="14092" max="14092" width="15.69921875" customWidth="1"/>
    <col min="14093" max="14331" width="7.8984375" customWidth="1"/>
    <col min="14333" max="14333" width="27.3984375" customWidth="1"/>
    <col min="14334" max="14334" width="1.69921875" customWidth="1"/>
    <col min="14335" max="14335" width="10.3984375" customWidth="1"/>
    <col min="14336" max="14336" width="1.09765625" customWidth="1"/>
    <col min="14337" max="14337" width="9.5" customWidth="1"/>
    <col min="14338" max="14338" width="1.3984375" customWidth="1"/>
    <col min="14339" max="14339" width="11" customWidth="1"/>
    <col min="14340" max="14340" width="1.3984375" customWidth="1"/>
    <col min="14341" max="14341" width="15.69921875" customWidth="1"/>
    <col min="14342" max="14342" width="1.3984375" customWidth="1"/>
    <col min="14343" max="14343" width="8.5" customWidth="1"/>
    <col min="14344" max="14345" width="12.19921875" customWidth="1"/>
    <col min="14346" max="14346" width="9.3984375" customWidth="1"/>
    <col min="14347" max="14347" width="8.5" customWidth="1"/>
    <col min="14348" max="14348" width="15.69921875" customWidth="1"/>
    <col min="14349" max="14587" width="7.8984375" customWidth="1"/>
    <col min="14589" max="14589" width="27.3984375" customWidth="1"/>
    <col min="14590" max="14590" width="1.69921875" customWidth="1"/>
    <col min="14591" max="14591" width="10.3984375" customWidth="1"/>
    <col min="14592" max="14592" width="1.09765625" customWidth="1"/>
    <col min="14593" max="14593" width="9.5" customWidth="1"/>
    <col min="14594" max="14594" width="1.3984375" customWidth="1"/>
    <col min="14595" max="14595" width="11" customWidth="1"/>
    <col min="14596" max="14596" width="1.3984375" customWidth="1"/>
    <col min="14597" max="14597" width="15.69921875" customWidth="1"/>
    <col min="14598" max="14598" width="1.3984375" customWidth="1"/>
    <col min="14599" max="14599" width="8.5" customWidth="1"/>
    <col min="14600" max="14601" width="12.19921875" customWidth="1"/>
    <col min="14602" max="14602" width="9.3984375" customWidth="1"/>
    <col min="14603" max="14603" width="8.5" customWidth="1"/>
    <col min="14604" max="14604" width="15.69921875" customWidth="1"/>
    <col min="14605" max="14843" width="7.8984375" customWidth="1"/>
    <col min="14845" max="14845" width="27.3984375" customWidth="1"/>
    <col min="14846" max="14846" width="1.69921875" customWidth="1"/>
    <col min="14847" max="14847" width="10.3984375" customWidth="1"/>
    <col min="14848" max="14848" width="1.09765625" customWidth="1"/>
    <col min="14849" max="14849" width="9.5" customWidth="1"/>
    <col min="14850" max="14850" width="1.3984375" customWidth="1"/>
    <col min="14851" max="14851" width="11" customWidth="1"/>
    <col min="14852" max="14852" width="1.3984375" customWidth="1"/>
    <col min="14853" max="14853" width="15.69921875" customWidth="1"/>
    <col min="14854" max="14854" width="1.3984375" customWidth="1"/>
    <col min="14855" max="14855" width="8.5" customWidth="1"/>
    <col min="14856" max="14857" width="12.19921875" customWidth="1"/>
    <col min="14858" max="14858" width="9.3984375" customWidth="1"/>
    <col min="14859" max="14859" width="8.5" customWidth="1"/>
    <col min="14860" max="14860" width="15.69921875" customWidth="1"/>
    <col min="14861" max="15099" width="7.8984375" customWidth="1"/>
    <col min="15101" max="15101" width="27.3984375" customWidth="1"/>
    <col min="15102" max="15102" width="1.69921875" customWidth="1"/>
    <col min="15103" max="15103" width="10.3984375" customWidth="1"/>
    <col min="15104" max="15104" width="1.09765625" customWidth="1"/>
    <col min="15105" max="15105" width="9.5" customWidth="1"/>
    <col min="15106" max="15106" width="1.3984375" customWidth="1"/>
    <col min="15107" max="15107" width="11" customWidth="1"/>
    <col min="15108" max="15108" width="1.3984375" customWidth="1"/>
    <col min="15109" max="15109" width="15.69921875" customWidth="1"/>
    <col min="15110" max="15110" width="1.3984375" customWidth="1"/>
    <col min="15111" max="15111" width="8.5" customWidth="1"/>
    <col min="15112" max="15113" width="12.19921875" customWidth="1"/>
    <col min="15114" max="15114" width="9.3984375" customWidth="1"/>
    <col min="15115" max="15115" width="8.5" customWidth="1"/>
    <col min="15116" max="15116" width="15.69921875" customWidth="1"/>
    <col min="15117" max="15355" width="7.8984375" customWidth="1"/>
    <col min="15357" max="15357" width="27.3984375" customWidth="1"/>
    <col min="15358" max="15358" width="1.69921875" customWidth="1"/>
    <col min="15359" max="15359" width="10.3984375" customWidth="1"/>
    <col min="15360" max="15360" width="1.09765625" customWidth="1"/>
    <col min="15361" max="15361" width="9.5" customWidth="1"/>
    <col min="15362" max="15362" width="1.3984375" customWidth="1"/>
    <col min="15363" max="15363" width="11" customWidth="1"/>
    <col min="15364" max="15364" width="1.3984375" customWidth="1"/>
    <col min="15365" max="15365" width="15.69921875" customWidth="1"/>
    <col min="15366" max="15366" width="1.3984375" customWidth="1"/>
    <col min="15367" max="15367" width="8.5" customWidth="1"/>
    <col min="15368" max="15369" width="12.19921875" customWidth="1"/>
    <col min="15370" max="15370" width="9.3984375" customWidth="1"/>
    <col min="15371" max="15371" width="8.5" customWidth="1"/>
    <col min="15372" max="15372" width="15.69921875" customWidth="1"/>
    <col min="15373" max="15611" width="7.8984375" customWidth="1"/>
    <col min="15613" max="15613" width="27.3984375" customWidth="1"/>
    <col min="15614" max="15614" width="1.69921875" customWidth="1"/>
    <col min="15615" max="15615" width="10.3984375" customWidth="1"/>
    <col min="15616" max="15616" width="1.09765625" customWidth="1"/>
    <col min="15617" max="15617" width="9.5" customWidth="1"/>
    <col min="15618" max="15618" width="1.3984375" customWidth="1"/>
    <col min="15619" max="15619" width="11" customWidth="1"/>
    <col min="15620" max="15620" width="1.3984375" customWidth="1"/>
    <col min="15621" max="15621" width="15.69921875" customWidth="1"/>
    <col min="15622" max="15622" width="1.3984375" customWidth="1"/>
    <col min="15623" max="15623" width="8.5" customWidth="1"/>
    <col min="15624" max="15625" width="12.19921875" customWidth="1"/>
    <col min="15626" max="15626" width="9.3984375" customWidth="1"/>
    <col min="15627" max="15627" width="8.5" customWidth="1"/>
    <col min="15628" max="15628" width="15.69921875" customWidth="1"/>
    <col min="15629" max="15867" width="7.8984375" customWidth="1"/>
    <col min="15869" max="15869" width="27.3984375" customWidth="1"/>
    <col min="15870" max="15870" width="1.69921875" customWidth="1"/>
    <col min="15871" max="15871" width="10.3984375" customWidth="1"/>
    <col min="15872" max="15872" width="1.09765625" customWidth="1"/>
    <col min="15873" max="15873" width="9.5" customWidth="1"/>
    <col min="15874" max="15874" width="1.3984375" customWidth="1"/>
    <col min="15875" max="15875" width="11" customWidth="1"/>
    <col min="15876" max="15876" width="1.3984375" customWidth="1"/>
    <col min="15877" max="15877" width="15.69921875" customWidth="1"/>
    <col min="15878" max="15878" width="1.3984375" customWidth="1"/>
    <col min="15879" max="15879" width="8.5" customWidth="1"/>
    <col min="15880" max="15881" width="12.19921875" customWidth="1"/>
    <col min="15882" max="15882" width="9.3984375" customWidth="1"/>
    <col min="15883" max="15883" width="8.5" customWidth="1"/>
    <col min="15884" max="15884" width="15.69921875" customWidth="1"/>
    <col min="15885" max="16123" width="7.8984375" customWidth="1"/>
    <col min="16125" max="16125" width="27.3984375" customWidth="1"/>
    <col min="16126" max="16126" width="1.69921875" customWidth="1"/>
    <col min="16127" max="16127" width="10.3984375" customWidth="1"/>
    <col min="16128" max="16128" width="1.09765625" customWidth="1"/>
    <col min="16129" max="16129" width="9.5" customWidth="1"/>
    <col min="16130" max="16130" width="1.3984375" customWidth="1"/>
    <col min="16131" max="16131" width="11" customWidth="1"/>
    <col min="16132" max="16132" width="1.3984375" customWidth="1"/>
    <col min="16133" max="16133" width="15.69921875" customWidth="1"/>
    <col min="16134" max="16134" width="1.3984375" customWidth="1"/>
    <col min="16135" max="16135" width="8.5" customWidth="1"/>
    <col min="16136" max="16137" width="12.19921875" customWidth="1"/>
    <col min="16138" max="16138" width="9.3984375" customWidth="1"/>
    <col min="16139" max="16139" width="8.5" customWidth="1"/>
    <col min="16140" max="16140" width="15.69921875" customWidth="1"/>
    <col min="16141" max="16379" width="7.8984375" customWidth="1"/>
  </cols>
  <sheetData>
    <row r="1" spans="1:12" ht="22.5" customHeight="1" thickBot="1" x14ac:dyDescent="0.4">
      <c r="A1" s="308" t="s">
        <v>142</v>
      </c>
      <c r="B1" s="308"/>
      <c r="C1" s="308"/>
      <c r="D1" s="308"/>
      <c r="E1" s="308"/>
      <c r="F1" s="308"/>
      <c r="G1" s="308"/>
      <c r="H1" s="308"/>
      <c r="I1" s="308"/>
      <c r="J1" s="308"/>
      <c r="K1" s="308"/>
      <c r="L1" s="308"/>
    </row>
    <row r="2" spans="1:12" s="69" customFormat="1" ht="16.2" thickTop="1" x14ac:dyDescent="0.3">
      <c r="A2" s="62"/>
      <c r="B2" s="62"/>
      <c r="C2" s="63"/>
      <c r="D2" s="64" t="s">
        <v>1</v>
      </c>
      <c r="E2" s="65"/>
      <c r="F2" s="65"/>
      <c r="G2" s="65"/>
      <c r="H2" s="64" t="s">
        <v>57</v>
      </c>
      <c r="I2" s="66" t="s">
        <v>58</v>
      </c>
      <c r="J2" s="67" t="s">
        <v>59</v>
      </c>
      <c r="K2" s="68" t="s">
        <v>60</v>
      </c>
      <c r="L2" s="64" t="s">
        <v>60</v>
      </c>
    </row>
    <row r="3" spans="1:12" s="69" customFormat="1" ht="14.7" customHeight="1" x14ac:dyDescent="0.3">
      <c r="A3" s="195" t="s">
        <v>61</v>
      </c>
      <c r="B3" s="196"/>
      <c r="C3" s="195"/>
      <c r="D3" s="197" t="s">
        <v>62</v>
      </c>
      <c r="E3" s="198"/>
      <c r="F3" s="198"/>
      <c r="G3" s="198"/>
      <c r="H3" s="197" t="s">
        <v>63</v>
      </c>
      <c r="I3" s="199" t="s">
        <v>12</v>
      </c>
      <c r="J3" s="200" t="s">
        <v>64</v>
      </c>
      <c r="K3" s="201" t="s">
        <v>65</v>
      </c>
      <c r="L3" s="197" t="s">
        <v>65</v>
      </c>
    </row>
    <row r="4" spans="1:12" s="69" customFormat="1" x14ac:dyDescent="0.3">
      <c r="A4" s="70"/>
      <c r="B4" s="71"/>
      <c r="C4" s="71"/>
      <c r="D4" s="72"/>
      <c r="E4" s="73"/>
      <c r="F4" s="73"/>
      <c r="G4" s="73"/>
      <c r="H4" s="74" t="s">
        <v>66</v>
      </c>
      <c r="I4" s="75"/>
      <c r="J4" s="76" t="s">
        <v>68</v>
      </c>
      <c r="K4" s="77" t="s">
        <v>69</v>
      </c>
      <c r="L4" s="74" t="s">
        <v>12</v>
      </c>
    </row>
    <row r="5" spans="1:12" x14ac:dyDescent="0.3">
      <c r="A5" s="78" t="s">
        <v>81</v>
      </c>
      <c r="B5" s="202"/>
      <c r="C5" s="202"/>
      <c r="D5" s="203">
        <f>SUM(D6:D6)</f>
        <v>30000</v>
      </c>
      <c r="E5" s="204"/>
      <c r="F5" s="204"/>
      <c r="G5" s="204"/>
      <c r="H5" s="205"/>
      <c r="I5" s="206"/>
      <c r="J5" s="207"/>
      <c r="K5" s="80" t="s">
        <v>70</v>
      </c>
      <c r="L5" s="81">
        <f>SUM(L6:L6)</f>
        <v>4527</v>
      </c>
    </row>
    <row r="6" spans="1:12" x14ac:dyDescent="0.3">
      <c r="A6" s="79" t="s">
        <v>141</v>
      </c>
      <c r="B6" s="202"/>
      <c r="C6" s="202"/>
      <c r="D6" s="208">
        <v>30000</v>
      </c>
      <c r="E6" s="204"/>
      <c r="F6" s="204"/>
      <c r="G6" s="204"/>
      <c r="H6" s="205">
        <v>15</v>
      </c>
      <c r="I6" s="206">
        <f>D6*0.1</f>
        <v>3000</v>
      </c>
      <c r="J6" s="207">
        <v>0.06</v>
      </c>
      <c r="K6" s="209">
        <v>0.161</v>
      </c>
      <c r="L6" s="210">
        <f>K6*(D6-I6)+(J6*I6)</f>
        <v>4527</v>
      </c>
    </row>
    <row r="7" spans="1:12" ht="8.4" customHeight="1" x14ac:dyDescent="0.3">
      <c r="A7" s="202"/>
      <c r="B7" s="202"/>
      <c r="C7" s="202"/>
      <c r="D7" s="208"/>
      <c r="E7" s="204"/>
      <c r="F7" s="204"/>
      <c r="G7" s="204"/>
      <c r="H7" s="205"/>
      <c r="I7" s="206"/>
      <c r="J7" s="207"/>
      <c r="K7" s="209"/>
      <c r="L7" s="211"/>
    </row>
    <row r="8" spans="1:12" ht="6.75" customHeight="1" x14ac:dyDescent="0.3">
      <c r="A8" s="202"/>
      <c r="B8" s="202"/>
      <c r="C8" s="202"/>
      <c r="D8" s="214"/>
      <c r="E8" s="204"/>
      <c r="F8" s="204"/>
      <c r="G8" s="204"/>
      <c r="H8" s="205"/>
      <c r="I8" s="206"/>
      <c r="J8" s="207"/>
      <c r="K8" s="209"/>
      <c r="L8" s="211"/>
    </row>
    <row r="9" spans="1:12" x14ac:dyDescent="0.3">
      <c r="A9" s="202" t="s">
        <v>71</v>
      </c>
      <c r="B9" s="202"/>
      <c r="C9" s="202"/>
      <c r="D9" s="208">
        <f>SUM(D5:E7)-(D5)</f>
        <v>30000</v>
      </c>
      <c r="E9" s="204"/>
      <c r="F9" s="204"/>
      <c r="G9" s="204"/>
      <c r="H9" s="219"/>
      <c r="I9" s="220">
        <f>SUM(I5:I7)</f>
        <v>3000</v>
      </c>
      <c r="J9" s="207"/>
      <c r="K9" s="209"/>
      <c r="L9" s="211"/>
    </row>
    <row r="10" spans="1:12" x14ac:dyDescent="0.3">
      <c r="A10" s="202" t="s">
        <v>72</v>
      </c>
      <c r="B10" s="202"/>
      <c r="C10" s="202"/>
      <c r="D10" s="214">
        <f>D9/'Selling steers USDA inspected '!N5</f>
        <v>1250</v>
      </c>
      <c r="E10" s="204"/>
      <c r="F10" s="204"/>
      <c r="G10" s="204"/>
      <c r="H10" s="205"/>
      <c r="I10" s="206">
        <f>I9/head</f>
        <v>60</v>
      </c>
      <c r="J10" s="207"/>
      <c r="K10" s="209"/>
      <c r="L10" s="211"/>
    </row>
    <row r="11" spans="1:12" ht="6.75" customHeight="1" x14ac:dyDescent="0.3">
      <c r="A11" s="202"/>
      <c r="B11" s="202"/>
      <c r="C11" s="202"/>
      <c r="D11" s="214"/>
      <c r="E11" s="204"/>
      <c r="F11" s="204"/>
      <c r="G11" s="204"/>
      <c r="H11" s="205"/>
      <c r="I11" s="206"/>
      <c r="J11" s="207"/>
      <c r="K11" s="209"/>
      <c r="L11" s="211"/>
    </row>
    <row r="12" spans="1:12" ht="15" customHeight="1" x14ac:dyDescent="0.3">
      <c r="A12" s="202" t="s">
        <v>73</v>
      </c>
      <c r="B12" s="215"/>
      <c r="C12" s="202"/>
      <c r="D12" s="208">
        <f>AVERAGE(D9,I9)</f>
        <v>16500</v>
      </c>
      <c r="E12" s="204"/>
      <c r="F12" s="204"/>
      <c r="G12" s="204"/>
      <c r="H12" s="205"/>
      <c r="I12" s="206"/>
      <c r="J12" s="207"/>
      <c r="K12" s="209"/>
      <c r="L12" s="211"/>
    </row>
    <row r="13" spans="1:12" ht="15" customHeight="1" x14ac:dyDescent="0.3">
      <c r="A13" s="202" t="s">
        <v>74</v>
      </c>
      <c r="B13" s="215"/>
      <c r="C13" s="202"/>
      <c r="D13" s="208">
        <f>D12/'Selling steers USDA inspected '!N5</f>
        <v>687.5</v>
      </c>
      <c r="E13" s="204"/>
      <c r="F13" s="204"/>
      <c r="G13" s="204"/>
      <c r="H13" s="205"/>
      <c r="I13" s="206"/>
      <c r="J13" s="207"/>
      <c r="K13" s="209"/>
      <c r="L13" s="211"/>
    </row>
    <row r="14" spans="1:12" ht="6.75" customHeight="1" x14ac:dyDescent="0.3">
      <c r="A14" s="202"/>
      <c r="B14" s="202"/>
      <c r="C14" s="202"/>
      <c r="D14" s="214"/>
      <c r="E14" s="204"/>
      <c r="F14" s="204"/>
      <c r="G14" s="204"/>
      <c r="H14" s="205"/>
      <c r="I14" s="206"/>
      <c r="J14" s="207"/>
      <c r="K14" s="209"/>
      <c r="L14" s="211"/>
    </row>
    <row r="15" spans="1:12" x14ac:dyDescent="0.3">
      <c r="A15" s="202" t="s">
        <v>75</v>
      </c>
      <c r="B15" s="202"/>
      <c r="C15" s="202"/>
      <c r="D15" s="208">
        <f>L15</f>
        <v>4527</v>
      </c>
      <c r="E15" s="204"/>
      <c r="F15" s="204"/>
      <c r="G15" s="204"/>
      <c r="H15" s="219"/>
      <c r="I15" s="220"/>
      <c r="J15" s="207"/>
      <c r="K15" s="209"/>
      <c r="L15" s="210">
        <f>SUM($L$5:$L$10)-$L$5</f>
        <v>4527</v>
      </c>
    </row>
    <row r="16" spans="1:12" x14ac:dyDescent="0.3">
      <c r="A16" s="202" t="s">
        <v>76</v>
      </c>
      <c r="B16" s="202"/>
      <c r="C16" s="202"/>
      <c r="D16" s="208">
        <f>L16</f>
        <v>188.625</v>
      </c>
      <c r="E16" s="204"/>
      <c r="F16" s="204"/>
      <c r="G16" s="204"/>
      <c r="H16" s="205"/>
      <c r="I16" s="206"/>
      <c r="J16" s="207"/>
      <c r="K16" s="209"/>
      <c r="L16" s="221">
        <f>L15/'Selling steers USDA inspected '!N5</f>
        <v>188.625</v>
      </c>
    </row>
    <row r="17" spans="1:12" ht="1.5" customHeight="1" x14ac:dyDescent="0.3">
      <c r="A17" s="222"/>
      <c r="B17" s="222"/>
      <c r="C17" s="222"/>
      <c r="D17" s="223"/>
      <c r="E17" s="224"/>
      <c r="F17" s="224"/>
      <c r="G17" s="224"/>
      <c r="H17" s="225"/>
      <c r="I17" s="226"/>
      <c r="J17" s="227"/>
      <c r="K17" s="228"/>
      <c r="L17" s="229"/>
    </row>
    <row r="18" spans="1:12" x14ac:dyDescent="0.3">
      <c r="A18" s="83"/>
      <c r="B18" s="83"/>
      <c r="C18" s="83"/>
      <c r="D18" s="83"/>
      <c r="E18" s="83"/>
      <c r="F18" s="83"/>
      <c r="G18" s="83"/>
      <c r="H18" s="84"/>
      <c r="I18" s="85"/>
      <c r="J18" s="230"/>
      <c r="K18" s="86"/>
      <c r="L18" s="87"/>
    </row>
    <row r="19" spans="1:12" x14ac:dyDescent="0.3">
      <c r="A19" s="83"/>
      <c r="B19" s="83"/>
      <c r="C19" s="83"/>
      <c r="D19" s="83"/>
      <c r="E19" s="83"/>
      <c r="F19" s="83"/>
      <c r="G19" s="83"/>
      <c r="H19" s="84"/>
      <c r="I19" s="85"/>
      <c r="J19" s="230"/>
      <c r="K19" s="86"/>
      <c r="L19" s="87"/>
    </row>
    <row r="20" spans="1:12" x14ac:dyDescent="0.3">
      <c r="A20" s="83"/>
      <c r="B20" s="83"/>
      <c r="C20" s="83"/>
      <c r="D20" s="83"/>
      <c r="E20" s="83"/>
      <c r="F20" s="83"/>
      <c r="G20" s="83"/>
      <c r="H20" s="84"/>
      <c r="I20" s="85"/>
      <c r="J20" s="230"/>
      <c r="K20" s="86"/>
      <c r="L20" s="87"/>
    </row>
    <row r="21" spans="1:12" x14ac:dyDescent="0.3">
      <c r="A21" s="83"/>
      <c r="B21" s="83"/>
      <c r="C21" s="83"/>
      <c r="D21" s="83"/>
      <c r="E21" s="83"/>
      <c r="F21" s="83"/>
      <c r="G21" s="83"/>
      <c r="H21" s="84"/>
      <c r="I21" s="85"/>
      <c r="J21" s="230"/>
      <c r="K21" s="86"/>
      <c r="L21" s="87"/>
    </row>
    <row r="22" spans="1:12" x14ac:dyDescent="0.3">
      <c r="A22" s="83"/>
      <c r="B22" s="83"/>
      <c r="C22" s="83"/>
      <c r="D22" s="83"/>
      <c r="E22" s="83"/>
      <c r="F22" s="83"/>
      <c r="G22" s="83"/>
      <c r="H22" s="84"/>
      <c r="I22" s="85"/>
      <c r="J22" s="230"/>
      <c r="K22" s="86"/>
      <c r="L22" s="87"/>
    </row>
    <row r="23" spans="1:12" x14ac:dyDescent="0.3">
      <c r="A23" s="83"/>
      <c r="B23" s="83"/>
      <c r="C23" s="83"/>
      <c r="D23" s="83"/>
      <c r="E23" s="83"/>
      <c r="F23" s="83"/>
      <c r="G23" s="83"/>
      <c r="H23" s="84"/>
      <c r="I23" s="85"/>
      <c r="J23" s="230"/>
      <c r="K23" s="86"/>
      <c r="L23" s="87"/>
    </row>
    <row r="24" spans="1:12" x14ac:dyDescent="0.3">
      <c r="A24" s="83"/>
      <c r="B24" s="83"/>
      <c r="C24" s="83"/>
      <c r="D24" s="83"/>
      <c r="E24" s="83"/>
      <c r="F24" s="83"/>
      <c r="G24" s="83"/>
      <c r="H24" s="84"/>
      <c r="I24" s="85"/>
      <c r="J24" s="230"/>
      <c r="K24" s="86"/>
      <c r="L24" s="87"/>
    </row>
    <row r="25" spans="1:12" x14ac:dyDescent="0.3">
      <c r="A25" s="83"/>
      <c r="B25" s="83"/>
      <c r="C25" s="83"/>
      <c r="D25" s="83"/>
      <c r="E25" s="83"/>
      <c r="F25" s="83"/>
      <c r="G25" s="83"/>
      <c r="H25" s="84"/>
      <c r="I25" s="85"/>
      <c r="J25" s="230"/>
      <c r="K25" s="86"/>
      <c r="L25" s="87"/>
    </row>
    <row r="26" spans="1:12" x14ac:dyDescent="0.3">
      <c r="A26" s="83"/>
      <c r="B26" s="83"/>
      <c r="C26" s="83"/>
      <c r="D26" s="83"/>
      <c r="E26" s="83"/>
      <c r="F26" s="83"/>
      <c r="G26" s="83"/>
      <c r="H26" s="84"/>
      <c r="I26" s="85"/>
      <c r="J26" s="230"/>
      <c r="K26" s="86"/>
      <c r="L26" s="87"/>
    </row>
    <row r="27" spans="1:12" x14ac:dyDescent="0.3">
      <c r="H27" s="88"/>
      <c r="I27" s="89"/>
    </row>
  </sheetData>
  <mergeCells count="1">
    <mergeCell ref="A1:L1"/>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Summary</vt:lpstr>
      <vt:lpstr>Cow-Calf</vt:lpstr>
      <vt:lpstr>Capital Recovery</vt:lpstr>
      <vt:lpstr>Yearling budget</vt:lpstr>
      <vt:lpstr>Selling steers USDA inspected </vt:lpstr>
      <vt:lpstr>Selling steers locker beef</vt:lpstr>
      <vt:lpstr>Capital Recovery, Cold Storage</vt:lpstr>
      <vt:lpstr>head</vt:lpstr>
      <vt:lpstr>'Capital Recovery'!Print_Area</vt:lpstr>
      <vt:lpstr>'Capital Recovery, Cold Storage'!Print_Area</vt:lpstr>
      <vt:lpstr>'Cow-Calf'!Print_Area</vt:lpstr>
      <vt:lpstr>'Selling steers locker beef'!Print_Area</vt:lpstr>
      <vt:lpstr>'Selling steers USDA inspected '!Print_Area</vt:lpstr>
      <vt:lpstr>Summary!Print_Area</vt:lpstr>
      <vt:lpstr>'Yearling budget'!Print_Area</vt:lpstr>
      <vt:lpstr>yield</vt:lpstr>
    </vt:vector>
  </TitlesOfParts>
  <Company>University of Idaho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c:creator>
  <cp:lastModifiedBy>Stephen Bramwell</cp:lastModifiedBy>
  <cp:lastPrinted>2021-02-19T19:24:26Z</cp:lastPrinted>
  <dcterms:created xsi:type="dcterms:W3CDTF">2015-08-20T20:25:14Z</dcterms:created>
  <dcterms:modified xsi:type="dcterms:W3CDTF">2021-08-23T21:51:54Z</dcterms:modified>
</cp:coreProperties>
</file>