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filterPrivacy="1" autoCompressPictures="0" defaultThemeVersion="124226"/>
  <bookViews>
    <workbookView xWindow="-15" yWindow="-15" windowWidth="11520" windowHeight="12480" activeTab="1"/>
  </bookViews>
  <sheets>
    <sheet name="Intro" sheetId="10" r:id="rId1"/>
    <sheet name="Cider Apple Budget" sheetId="1" r:id="rId2"/>
    <sheet name="Price &amp; Yield Analysis" sheetId="9" r:id="rId3"/>
    <sheet name="Capital Req." sheetId="2" r:id="rId4"/>
    <sheet name="Mach. Equip. &amp; Build. Req." sheetId="11" r:id="rId5"/>
    <sheet name="Int. Costs &amp; Depr." sheetId="7" r:id="rId6"/>
    <sheet name="NPV&amp;PaybackPd Analysis" sheetId="16" r:id="rId7"/>
    <sheet name="App1. Estab Costs" sheetId="3" r:id="rId8"/>
    <sheet name="App2. Full Prod Costs" sheetId="6" r:id="rId9"/>
    <sheet name="App3. Salv Value &amp; Dep Costs" sheetId="14" r:id="rId10"/>
    <sheet name="App4. Amort Calc" sheetId="8" r:id="rId11"/>
    <sheet name="App5. Data for tables" sheetId="13" r:id="rId12"/>
    <sheet name="App6. NPV&amp;Payback Pd" sheetId="15" r:id="rId13"/>
  </sheets>
  <definedNames>
    <definedName name="_xlnm.Print_Area" localSheetId="11">'App5. Data for tables'!$A$1:$J$66</definedName>
    <definedName name="_xlnm.Print_Area" localSheetId="1">'Cider Apple Budget'!$B$2:$J$72</definedName>
    <definedName name="_xlnm.Print_Area" localSheetId="0">Intro!$B$2:$L$37</definedName>
    <definedName name="_xlnm.Print_Area" localSheetId="4">'Mach. Equip. &amp; Build. Req.'!$B$2:$G$27</definedName>
  </definedNames>
  <calcPr calcId="125725"/>
  <extLst>
    <ext xmlns:mx="http://schemas.microsoft.com/office/mac/excel/2008/main" uri="{7523E5D3-25F3-A5E0-1632-64F254C22452}">
      <mx:ArchID Flags="2"/>
    </ext>
  </extLst>
</workbook>
</file>

<file path=xl/calcChain.xml><?xml version="1.0" encoding="utf-8"?>
<calcChain xmlns="http://schemas.openxmlformats.org/spreadsheetml/2006/main">
  <c r="H6" i="1"/>
  <c r="C4" i="8" l="1"/>
  <c r="H4" i="9"/>
  <c r="E4"/>
  <c r="F4" s="1"/>
  <c r="G4" s="1"/>
  <c r="D4"/>
  <c r="T48" i="15" l="1"/>
  <c r="M48"/>
  <c r="F47" i="13" l="1"/>
  <c r="F41" i="15"/>
  <c r="F46"/>
  <c r="F45"/>
  <c r="F44"/>
  <c r="F43"/>
  <c r="F42"/>
  <c r="E42" i="13"/>
  <c r="E49"/>
  <c r="F49"/>
  <c r="G49"/>
  <c r="H49"/>
  <c r="D49"/>
  <c r="T42" i="15" l="1"/>
  <c r="M42"/>
  <c r="T44"/>
  <c r="M44"/>
  <c r="T46"/>
  <c r="M46"/>
  <c r="T43"/>
  <c r="M43"/>
  <c r="T45"/>
  <c r="M45"/>
  <c r="T41"/>
  <c r="M41"/>
  <c r="K6" i="7"/>
  <c r="K5"/>
  <c r="K4"/>
  <c r="E9" i="3"/>
  <c r="H5" i="1"/>
  <c r="G5"/>
  <c r="F5"/>
  <c r="E5"/>
  <c r="I15" i="15" l="1"/>
  <c r="I39" s="1"/>
  <c r="I14"/>
  <c r="I13"/>
  <c r="I12"/>
  <c r="I11"/>
  <c r="I10"/>
  <c r="H10"/>
  <c r="I16" l="1"/>
  <c r="I17"/>
  <c r="I18"/>
  <c r="I19"/>
  <c r="I20"/>
  <c r="I21"/>
  <c r="I22"/>
  <c r="I23"/>
  <c r="I24"/>
  <c r="I25"/>
  <c r="I26"/>
  <c r="I27"/>
  <c r="I28"/>
  <c r="I29"/>
  <c r="I30"/>
  <c r="I31"/>
  <c r="I32"/>
  <c r="I33"/>
  <c r="I34"/>
  <c r="I35"/>
  <c r="I36"/>
  <c r="I37"/>
  <c r="I38"/>
  <c r="E6" i="3"/>
  <c r="G6" s="1"/>
  <c r="L4"/>
  <c r="F6" s="1"/>
  <c r="E16"/>
  <c r="E17"/>
  <c r="L5"/>
  <c r="F76" s="1"/>
  <c r="E19"/>
  <c r="E20"/>
  <c r="E21"/>
  <c r="G21" s="1"/>
  <c r="E22"/>
  <c r="G22" s="1"/>
  <c r="E8"/>
  <c r="E10"/>
  <c r="E11"/>
  <c r="C13"/>
  <c r="L6"/>
  <c r="D14" s="1"/>
  <c r="C14"/>
  <c r="E23"/>
  <c r="G23" s="1"/>
  <c r="E24"/>
  <c r="G24" s="1"/>
  <c r="C16" i="1" s="1"/>
  <c r="E34" i="3"/>
  <c r="G34" s="1"/>
  <c r="E26"/>
  <c r="E27"/>
  <c r="E29"/>
  <c r="E30"/>
  <c r="E31"/>
  <c r="G31" s="1"/>
  <c r="C22" i="1" s="1"/>
  <c r="E32" i="3"/>
  <c r="G32" s="1"/>
  <c r="E33"/>
  <c r="G33" s="1"/>
  <c r="C48" i="13"/>
  <c r="E36" i="3"/>
  <c r="G36" s="1"/>
  <c r="C27" i="1" s="1"/>
  <c r="E37" i="3"/>
  <c r="G37" s="1"/>
  <c r="C53" i="1" s="1"/>
  <c r="E38" i="3"/>
  <c r="G38" s="1"/>
  <c r="E39"/>
  <c r="G39" s="1"/>
  <c r="C55" i="1" s="1"/>
  <c r="E40" i="3"/>
  <c r="G40" s="1"/>
  <c r="C56" i="1" s="1"/>
  <c r="P10" i="15"/>
  <c r="O10"/>
  <c r="E43" i="3"/>
  <c r="G43" s="1"/>
  <c r="E44"/>
  <c r="G44" s="1"/>
  <c r="D16" i="1" s="1"/>
  <c r="E54" i="3"/>
  <c r="G54" s="1"/>
  <c r="E46"/>
  <c r="E47"/>
  <c r="E49"/>
  <c r="E50"/>
  <c r="E51"/>
  <c r="G51" s="1"/>
  <c r="E52"/>
  <c r="G52" s="1"/>
  <c r="E53"/>
  <c r="G53" s="1"/>
  <c r="D48" i="13"/>
  <c r="E55" i="3"/>
  <c r="G55" s="1"/>
  <c r="E56"/>
  <c r="G56" s="1"/>
  <c r="D27" i="1" s="1"/>
  <c r="E57" i="3"/>
  <c r="G57" s="1"/>
  <c r="D53" i="1" s="1"/>
  <c r="E58" i="3"/>
  <c r="G58" s="1"/>
  <c r="E59"/>
  <c r="G59" s="1"/>
  <c r="D55" i="1" s="1"/>
  <c r="E60" i="3"/>
  <c r="G60" s="1"/>
  <c r="D56" i="1" s="1"/>
  <c r="P11" i="15"/>
  <c r="B11"/>
  <c r="E76" i="3"/>
  <c r="G76" s="1"/>
  <c r="E63"/>
  <c r="G63" s="1"/>
  <c r="E64"/>
  <c r="G64" s="1"/>
  <c r="E16" i="1" s="1"/>
  <c r="E75" i="3"/>
  <c r="G75" s="1"/>
  <c r="E66"/>
  <c r="E67"/>
  <c r="E69"/>
  <c r="E70"/>
  <c r="E77"/>
  <c r="G77" s="1"/>
  <c r="E20" i="1" s="1"/>
  <c r="C71" i="3"/>
  <c r="D71"/>
  <c r="E72"/>
  <c r="G72" s="1"/>
  <c r="E73"/>
  <c r="G73" s="1"/>
  <c r="E74"/>
  <c r="G74" s="1"/>
  <c r="C86"/>
  <c r="D86"/>
  <c r="E48" i="13"/>
  <c r="E79" i="3"/>
  <c r="G79" s="1"/>
  <c r="E27" i="1" s="1"/>
  <c r="E83" i="3"/>
  <c r="G83" s="1"/>
  <c r="E29" i="1" s="1"/>
  <c r="E80" i="3"/>
  <c r="G80" s="1"/>
  <c r="E81"/>
  <c r="G81" s="1"/>
  <c r="E54" i="1" s="1"/>
  <c r="E82" i="3"/>
  <c r="G82" s="1"/>
  <c r="E84"/>
  <c r="G84" s="1"/>
  <c r="E56" i="1" s="1"/>
  <c r="C12" i="15"/>
  <c r="P12" s="1"/>
  <c r="E89" i="3"/>
  <c r="G89" s="1"/>
  <c r="F15" i="1" s="1"/>
  <c r="E90" i="3"/>
  <c r="G90" s="1"/>
  <c r="E101"/>
  <c r="G101" s="1"/>
  <c r="F17" i="1" s="1"/>
  <c r="E92" i="3"/>
  <c r="E93"/>
  <c r="E95"/>
  <c r="E96"/>
  <c r="E102"/>
  <c r="G102" s="1"/>
  <c r="F20" i="1" s="1"/>
  <c r="C97" i="3"/>
  <c r="D97"/>
  <c r="E98"/>
  <c r="G98" s="1"/>
  <c r="F22" i="1" s="1"/>
  <c r="E99" i="3"/>
  <c r="G99" s="1"/>
  <c r="E100"/>
  <c r="G100" s="1"/>
  <c r="C111"/>
  <c r="D111"/>
  <c r="F48" i="13"/>
  <c r="E104" i="3"/>
  <c r="G104" s="1"/>
  <c r="F27" i="1" s="1"/>
  <c r="E108" i="3"/>
  <c r="G108" s="1"/>
  <c r="F29" i="1" s="1"/>
  <c r="E105" i="3"/>
  <c r="G105" s="1"/>
  <c r="E106"/>
  <c r="G106" s="1"/>
  <c r="F54" i="1" s="1"/>
  <c r="E107" i="3"/>
  <c r="G107" s="1"/>
  <c r="F55" i="1" s="1"/>
  <c r="E109" i="3"/>
  <c r="G109" s="1"/>
  <c r="F56" i="1" s="1"/>
  <c r="C13" i="15"/>
  <c r="P13" s="1"/>
  <c r="E114" i="3"/>
  <c r="G114" s="1"/>
  <c r="G15" i="1" s="1"/>
  <c r="E115" i="3"/>
  <c r="G115" s="1"/>
  <c r="E126"/>
  <c r="G126" s="1"/>
  <c r="G17" i="1" s="1"/>
  <c r="E117" i="3"/>
  <c r="E118"/>
  <c r="E120"/>
  <c r="E121"/>
  <c r="E127"/>
  <c r="G127" s="1"/>
  <c r="C122"/>
  <c r="D122"/>
  <c r="E123"/>
  <c r="G123" s="1"/>
  <c r="E124"/>
  <c r="G124" s="1"/>
  <c r="E125"/>
  <c r="G125" s="1"/>
  <c r="C136"/>
  <c r="D136"/>
  <c r="G47" i="13"/>
  <c r="G48"/>
  <c r="E129" i="3"/>
  <c r="G129" s="1"/>
  <c r="G27" i="1" s="1"/>
  <c r="E133" i="3"/>
  <c r="G133" s="1"/>
  <c r="G29" i="1" s="1"/>
  <c r="E130" i="3"/>
  <c r="G130" s="1"/>
  <c r="E131"/>
  <c r="G131" s="1"/>
  <c r="G54" i="1" s="1"/>
  <c r="E132" i="3"/>
  <c r="G132" s="1"/>
  <c r="E134"/>
  <c r="G134" s="1"/>
  <c r="G56" i="1" s="1"/>
  <c r="C14" i="15"/>
  <c r="P14" s="1"/>
  <c r="E4" i="6"/>
  <c r="G4" s="1"/>
  <c r="H15" i="1" s="1"/>
  <c r="E5" i="6"/>
  <c r="G5" s="1"/>
  <c r="E16"/>
  <c r="G16" s="1"/>
  <c r="H17" i="1" s="1"/>
  <c r="E7" i="6"/>
  <c r="E8"/>
  <c r="E10"/>
  <c r="E11"/>
  <c r="E17"/>
  <c r="G17" s="1"/>
  <c r="H20" i="1" s="1"/>
  <c r="C12" i="6"/>
  <c r="D12"/>
  <c r="E13"/>
  <c r="G13" s="1"/>
  <c r="E14"/>
  <c r="G14" s="1"/>
  <c r="E15"/>
  <c r="G15" s="1"/>
  <c r="C26"/>
  <c r="D26"/>
  <c r="H47" i="13"/>
  <c r="H48"/>
  <c r="E19" i="6"/>
  <c r="G19" s="1"/>
  <c r="E23"/>
  <c r="G23" s="1"/>
  <c r="H29" i="1" s="1"/>
  <c r="E20" i="6"/>
  <c r="G20" s="1"/>
  <c r="H53" i="1" s="1"/>
  <c r="E21" i="6"/>
  <c r="G21" s="1"/>
  <c r="H54" i="1" s="1"/>
  <c r="E22" i="6"/>
  <c r="G22" s="1"/>
  <c r="E24"/>
  <c r="G24" s="1"/>
  <c r="H56" i="1" s="1"/>
  <c r="L4" i="6"/>
  <c r="F21" s="1"/>
  <c r="C15" i="15"/>
  <c r="P15" s="1"/>
  <c r="D25" i="7"/>
  <c r="E4" i="11"/>
  <c r="C5" i="14" s="1"/>
  <c r="F5" s="1"/>
  <c r="E5" i="11"/>
  <c r="E6"/>
  <c r="C7" i="14" s="1"/>
  <c r="F7" s="1"/>
  <c r="G7" s="1"/>
  <c r="E7" i="11"/>
  <c r="C8" i="14" s="1"/>
  <c r="F8" s="1"/>
  <c r="G8" s="1"/>
  <c r="E8" i="11"/>
  <c r="C9" i="14" s="1"/>
  <c r="F9" s="1"/>
  <c r="G9" s="1"/>
  <c r="E9" i="11"/>
  <c r="C10" i="14" s="1"/>
  <c r="F10" s="1"/>
  <c r="G10" s="1"/>
  <c r="E10" i="11"/>
  <c r="C11" i="14" s="1"/>
  <c r="F11" s="1"/>
  <c r="G11" s="1"/>
  <c r="E11" i="11"/>
  <c r="C12" i="14" s="1"/>
  <c r="F12" s="1"/>
  <c r="G12" s="1"/>
  <c r="E12" i="11"/>
  <c r="C13" i="14" s="1"/>
  <c r="F13" s="1"/>
  <c r="G13" s="1"/>
  <c r="E13" i="11"/>
  <c r="C14" i="14" s="1"/>
  <c r="F14" s="1"/>
  <c r="G14" s="1"/>
  <c r="E14" i="11"/>
  <c r="C15" i="14" s="1"/>
  <c r="F15" s="1"/>
  <c r="G15" s="1"/>
  <c r="E15" i="11"/>
  <c r="C16" i="14" s="1"/>
  <c r="F16" s="1"/>
  <c r="G16" s="1"/>
  <c r="E16" i="11"/>
  <c r="C17" i="14" s="1"/>
  <c r="F17" s="1"/>
  <c r="G17" s="1"/>
  <c r="E17" i="11"/>
  <c r="C18" i="14" s="1"/>
  <c r="F18" s="1"/>
  <c r="G18" s="1"/>
  <c r="E18" i="11"/>
  <c r="C19" i="14" s="1"/>
  <c r="F19" s="1"/>
  <c r="G19" s="1"/>
  <c r="K5"/>
  <c r="E6" i="7"/>
  <c r="C16" i="13"/>
  <c r="D22" i="7"/>
  <c r="C11"/>
  <c r="E7"/>
  <c r="D21"/>
  <c r="D23"/>
  <c r="D24"/>
  <c r="E4"/>
  <c r="E5"/>
  <c r="E8"/>
  <c r="E9"/>
  <c r="E6" i="1"/>
  <c r="E8" s="1"/>
  <c r="E10" i="7"/>
  <c r="F6" i="1"/>
  <c r="F8" s="1"/>
  <c r="G6"/>
  <c r="C5" i="8"/>
  <c r="C12" i="9"/>
  <c r="C13"/>
  <c r="G7" i="3" l="1"/>
  <c r="C12" i="1" s="1"/>
  <c r="G5" i="14"/>
  <c r="E19" i="11"/>
  <c r="C6" i="7" s="1"/>
  <c r="C20" i="15"/>
  <c r="P20" s="1"/>
  <c r="C38"/>
  <c r="P38" s="1"/>
  <c r="C18"/>
  <c r="P18" s="1"/>
  <c r="C37"/>
  <c r="P37" s="1"/>
  <c r="C17"/>
  <c r="P17" s="1"/>
  <c r="F19" i="6"/>
  <c r="H19" s="1"/>
  <c r="F131" i="3"/>
  <c r="H131" s="1"/>
  <c r="G28"/>
  <c r="C19" i="1" s="1"/>
  <c r="F9" i="6"/>
  <c r="F20"/>
  <c r="H20" s="1"/>
  <c r="G48" i="3"/>
  <c r="D19" i="1" s="1"/>
  <c r="E103" i="3"/>
  <c r="G103" s="1"/>
  <c r="F26" i="1" s="1"/>
  <c r="G94" i="3"/>
  <c r="F19" i="1" s="1"/>
  <c r="F36" i="3"/>
  <c r="H36" s="1"/>
  <c r="F24" i="6"/>
  <c r="H24" s="1"/>
  <c r="F13"/>
  <c r="H13" s="1"/>
  <c r="F4"/>
  <c r="F108" i="3"/>
  <c r="H108" s="1"/>
  <c r="F14" i="6"/>
  <c r="F12"/>
  <c r="G91" i="3"/>
  <c r="F18" i="1" s="1"/>
  <c r="E78" i="3"/>
  <c r="G78" s="1"/>
  <c r="E26" i="1" s="1"/>
  <c r="F75" i="3"/>
  <c r="H75" s="1"/>
  <c r="F64"/>
  <c r="H64" s="1"/>
  <c r="E122"/>
  <c r="G122" s="1"/>
  <c r="G21" i="1" s="1"/>
  <c r="F18" i="6"/>
  <c r="F17"/>
  <c r="H17" s="1"/>
  <c r="F38" i="3"/>
  <c r="H38" s="1"/>
  <c r="F25"/>
  <c r="F16" i="6"/>
  <c r="H16" s="1"/>
  <c r="E128" i="3"/>
  <c r="G128" s="1"/>
  <c r="G26" i="1" s="1"/>
  <c r="E136" i="3"/>
  <c r="G136" s="1"/>
  <c r="G24" i="1" s="1"/>
  <c r="E35" i="3"/>
  <c r="G35" s="1"/>
  <c r="C26" i="1" s="1"/>
  <c r="F22" i="6"/>
  <c r="H22" s="1"/>
  <c r="F5"/>
  <c r="H5" s="1"/>
  <c r="F23"/>
  <c r="H23" s="1"/>
  <c r="F102" i="3"/>
  <c r="H102" s="1"/>
  <c r="E15" i="2"/>
  <c r="E18" i="6"/>
  <c r="G18" s="1"/>
  <c r="H26" i="1" s="1"/>
  <c r="F26" i="6"/>
  <c r="F114" i="3"/>
  <c r="H114" s="1"/>
  <c r="F6" i="6"/>
  <c r="F99" i="3"/>
  <c r="H99" s="1"/>
  <c r="F45"/>
  <c r="F15" i="6"/>
  <c r="H15" s="1"/>
  <c r="E71" i="3"/>
  <c r="G71" s="1"/>
  <c r="E21" i="1" s="1"/>
  <c r="G119" i="3"/>
  <c r="G19" i="1" s="1"/>
  <c r="F24" i="3"/>
  <c r="H24" s="1"/>
  <c r="F55"/>
  <c r="H55" s="1"/>
  <c r="F126"/>
  <c r="H126" s="1"/>
  <c r="D15" i="2"/>
  <c r="F68" i="3"/>
  <c r="F81"/>
  <c r="H81" s="1"/>
  <c r="F94"/>
  <c r="F80"/>
  <c r="H80" s="1"/>
  <c r="F54"/>
  <c r="H54" s="1"/>
  <c r="F105"/>
  <c r="H105" s="1"/>
  <c r="F57"/>
  <c r="H57" s="1"/>
  <c r="F111"/>
  <c r="G6" i="6"/>
  <c r="D13" i="3"/>
  <c r="E13" s="1"/>
  <c r="F116"/>
  <c r="F58"/>
  <c r="H58" s="1"/>
  <c r="F109"/>
  <c r="H109" s="1"/>
  <c r="F77"/>
  <c r="H77" s="1"/>
  <c r="F134"/>
  <c r="H134" s="1"/>
  <c r="G9" i="6"/>
  <c r="H19" i="1" s="1"/>
  <c r="E97" i="3"/>
  <c r="G97" s="1"/>
  <c r="F21" i="1" s="1"/>
  <c r="G68" i="3"/>
  <c r="E19" i="1" s="1"/>
  <c r="E12" i="6"/>
  <c r="G12" s="1"/>
  <c r="H21" i="1" s="1"/>
  <c r="E111" i="3"/>
  <c r="G111" s="1"/>
  <c r="F24" i="1" s="1"/>
  <c r="G15" i="3"/>
  <c r="H76"/>
  <c r="E11" i="2" s="1"/>
  <c r="F52" i="3"/>
  <c r="H52" s="1"/>
  <c r="F39"/>
  <c r="H39" s="1"/>
  <c r="F98"/>
  <c r="H98" s="1"/>
  <c r="F103"/>
  <c r="F65"/>
  <c r="F83"/>
  <c r="H83" s="1"/>
  <c r="F72"/>
  <c r="H72" s="1"/>
  <c r="F132"/>
  <c r="H132" s="1"/>
  <c r="E26" i="6"/>
  <c r="G26" s="1"/>
  <c r="H24" i="1" s="1"/>
  <c r="F15" i="3"/>
  <c r="F44"/>
  <c r="H44" s="1"/>
  <c r="F101"/>
  <c r="H101" s="1"/>
  <c r="C15" i="2"/>
  <c r="F123" i="3"/>
  <c r="H123" s="1"/>
  <c r="F15" i="2"/>
  <c r="F22" i="3"/>
  <c r="H22" s="1"/>
  <c r="C10" i="2" s="1"/>
  <c r="F124" i="3"/>
  <c r="H124" s="1"/>
  <c r="F127"/>
  <c r="H127" s="1"/>
  <c r="F31"/>
  <c r="H31" s="1"/>
  <c r="F40"/>
  <c r="H40" s="1"/>
  <c r="F129"/>
  <c r="H129" s="1"/>
  <c r="F119"/>
  <c r="H21" i="6"/>
  <c r="G116" i="3"/>
  <c r="G18" i="1" s="1"/>
  <c r="G45" i="3"/>
  <c r="D18" i="1" s="1"/>
  <c r="G25" i="3"/>
  <c r="H8" i="1"/>
  <c r="H15" i="2" s="1"/>
  <c r="E86" i="3"/>
  <c r="G86" s="1"/>
  <c r="E24" i="1" s="1"/>
  <c r="G8"/>
  <c r="G15" i="2" s="1"/>
  <c r="D22" i="1"/>
  <c r="H22"/>
  <c r="H55"/>
  <c r="C17"/>
  <c r="H27"/>
  <c r="F23"/>
  <c r="E22"/>
  <c r="E14" i="3"/>
  <c r="H4" i="6"/>
  <c r="C34" i="15"/>
  <c r="P34" s="1"/>
  <c r="F73" i="3"/>
  <c r="H73" s="1"/>
  <c r="F32"/>
  <c r="H32" s="1"/>
  <c r="F51"/>
  <c r="H51" s="1"/>
  <c r="F53"/>
  <c r="H53" s="1"/>
  <c r="F23"/>
  <c r="H23" s="1"/>
  <c r="F136"/>
  <c r="F86"/>
  <c r="F79"/>
  <c r="H79" s="1"/>
  <c r="F48"/>
  <c r="F35"/>
  <c r="F60"/>
  <c r="H60" s="1"/>
  <c r="F7"/>
  <c r="C29" i="15"/>
  <c r="P29" s="1"/>
  <c r="G65" i="3"/>
  <c r="E18" i="1" s="1"/>
  <c r="O11" i="15"/>
  <c r="H11"/>
  <c r="G23" i="1"/>
  <c r="F18" i="3"/>
  <c r="F125"/>
  <c r="H125" s="1"/>
  <c r="F43"/>
  <c r="H43" s="1"/>
  <c r="F78"/>
  <c r="F122"/>
  <c r="F28"/>
  <c r="F107"/>
  <c r="H107" s="1"/>
  <c r="F130"/>
  <c r="H130" s="1"/>
  <c r="F89"/>
  <c r="H89" s="1"/>
  <c r="F133"/>
  <c r="H133" s="1"/>
  <c r="F90"/>
  <c r="H90" s="1"/>
  <c r="F82"/>
  <c r="H82" s="1"/>
  <c r="C6" i="14"/>
  <c r="C39" i="15"/>
  <c r="P39" s="1"/>
  <c r="C19"/>
  <c r="P19" s="1"/>
  <c r="G18" i="3"/>
  <c r="F97"/>
  <c r="F12"/>
  <c r="F59"/>
  <c r="H59" s="1"/>
  <c r="C32" i="15"/>
  <c r="P32" s="1"/>
  <c r="F21" i="3"/>
  <c r="H21" s="1"/>
  <c r="F100"/>
  <c r="H100" s="1"/>
  <c r="F63"/>
  <c r="H63" s="1"/>
  <c r="F128"/>
  <c r="F115"/>
  <c r="H115" s="1"/>
  <c r="F71"/>
  <c r="F56"/>
  <c r="H56" s="1"/>
  <c r="F106"/>
  <c r="H106" s="1"/>
  <c r="F84"/>
  <c r="H84" s="1"/>
  <c r="F91"/>
  <c r="F34"/>
  <c r="H34" s="1"/>
  <c r="F33"/>
  <c r="H33" s="1"/>
  <c r="F104"/>
  <c r="H104" s="1"/>
  <c r="F74"/>
  <c r="H74" s="1"/>
  <c r="F37"/>
  <c r="H37" s="1"/>
  <c r="C30" i="15"/>
  <c r="P30" s="1"/>
  <c r="H23" i="1"/>
  <c r="H14" i="6"/>
  <c r="G55" i="1"/>
  <c r="G20"/>
  <c r="F16"/>
  <c r="E53"/>
  <c r="E23"/>
  <c r="E17"/>
  <c r="D54"/>
  <c r="D17"/>
  <c r="C23"/>
  <c r="H16"/>
  <c r="G53"/>
  <c r="G22"/>
  <c r="G16"/>
  <c r="F53"/>
  <c r="E55"/>
  <c r="E15"/>
  <c r="D26"/>
  <c r="D23"/>
  <c r="D15"/>
  <c r="C54"/>
  <c r="C15"/>
  <c r="H6" i="3"/>
  <c r="C36" i="15"/>
  <c r="C33"/>
  <c r="C31"/>
  <c r="C28"/>
  <c r="C27"/>
  <c r="C35"/>
  <c r="C26"/>
  <c r="C25"/>
  <c r="C24"/>
  <c r="C23"/>
  <c r="C22"/>
  <c r="C21"/>
  <c r="C16"/>
  <c r="B12"/>
  <c r="H12" s="1"/>
  <c r="H28" i="3" l="1"/>
  <c r="H122"/>
  <c r="H48"/>
  <c r="H35"/>
  <c r="H103"/>
  <c r="H78"/>
  <c r="H128"/>
  <c r="H119"/>
  <c r="H91"/>
  <c r="H94"/>
  <c r="H68"/>
  <c r="H111"/>
  <c r="H6" i="6"/>
  <c r="H18"/>
  <c r="H12"/>
  <c r="H136" i="3"/>
  <c r="H71"/>
  <c r="H97"/>
  <c r="H9" i="6"/>
  <c r="H25" i="3"/>
  <c r="H26" i="6"/>
  <c r="C10" i="7"/>
  <c r="C25" s="1"/>
  <c r="E25" s="1"/>
  <c r="G25" s="1"/>
  <c r="F42" i="1" s="1"/>
  <c r="H116" i="3"/>
  <c r="G12"/>
  <c r="C13" i="1" s="1"/>
  <c r="H18"/>
  <c r="H30" s="1"/>
  <c r="H31" s="1"/>
  <c r="H33" s="1"/>
  <c r="J15" i="15" s="1"/>
  <c r="C18" i="1"/>
  <c r="H7" i="3"/>
  <c r="H45"/>
  <c r="H15"/>
  <c r="H18"/>
  <c r="H65"/>
  <c r="H86"/>
  <c r="C9" i="2"/>
  <c r="C7" i="7"/>
  <c r="F6" i="14"/>
  <c r="F20" s="1"/>
  <c r="C20"/>
  <c r="F30" i="1"/>
  <c r="F31" s="1"/>
  <c r="F33" s="1"/>
  <c r="C8" i="7"/>
  <c r="C23" s="1"/>
  <c r="E23" s="1"/>
  <c r="G23" s="1"/>
  <c r="D30" i="1"/>
  <c r="D31" s="1"/>
  <c r="D33" s="1"/>
  <c r="G30"/>
  <c r="G31" s="1"/>
  <c r="G33" s="1"/>
  <c r="C6" i="2"/>
  <c r="C5" i="7"/>
  <c r="F5" s="1"/>
  <c r="G5" s="1"/>
  <c r="E30" i="1"/>
  <c r="E31" s="1"/>
  <c r="P21" i="15"/>
  <c r="P23"/>
  <c r="P25"/>
  <c r="P35"/>
  <c r="P28"/>
  <c r="P31"/>
  <c r="P36"/>
  <c r="B13"/>
  <c r="H13" s="1"/>
  <c r="O12"/>
  <c r="P16"/>
  <c r="P22"/>
  <c r="P24"/>
  <c r="P26"/>
  <c r="P27"/>
  <c r="P33"/>
  <c r="J13" l="1"/>
  <c r="K13" s="1"/>
  <c r="L13" s="1"/>
  <c r="J11"/>
  <c r="K11" s="1"/>
  <c r="L11" s="1"/>
  <c r="J14"/>
  <c r="K14" s="1"/>
  <c r="J39"/>
  <c r="K39" s="1"/>
  <c r="J18"/>
  <c r="K18" s="1"/>
  <c r="J26"/>
  <c r="K26" s="1"/>
  <c r="J34"/>
  <c r="K34" s="1"/>
  <c r="J20"/>
  <c r="K20" s="1"/>
  <c r="J37"/>
  <c r="K37" s="1"/>
  <c r="J30"/>
  <c r="K30" s="1"/>
  <c r="J19"/>
  <c r="K19" s="1"/>
  <c r="J27"/>
  <c r="K27" s="1"/>
  <c r="J35"/>
  <c r="K35" s="1"/>
  <c r="J28"/>
  <c r="K28" s="1"/>
  <c r="J36"/>
  <c r="K36" s="1"/>
  <c r="J21"/>
  <c r="K21" s="1"/>
  <c r="J29"/>
  <c r="K29" s="1"/>
  <c r="J38"/>
  <c r="K38" s="1"/>
  <c r="J23"/>
  <c r="K23" s="1"/>
  <c r="J31"/>
  <c r="K31" s="1"/>
  <c r="K15"/>
  <c r="J16"/>
  <c r="K16" s="1"/>
  <c r="J24"/>
  <c r="K24" s="1"/>
  <c r="J32"/>
  <c r="K32" s="1"/>
  <c r="J17"/>
  <c r="K17" s="1"/>
  <c r="J25"/>
  <c r="K25" s="1"/>
  <c r="J33"/>
  <c r="K33" s="1"/>
  <c r="J22"/>
  <c r="K22" s="1"/>
  <c r="E42" i="1"/>
  <c r="G42"/>
  <c r="F8" i="7"/>
  <c r="G8" s="1"/>
  <c r="G48" i="1" s="1"/>
  <c r="H12" i="3"/>
  <c r="C30" i="1"/>
  <c r="C31" s="1"/>
  <c r="F10" i="7"/>
  <c r="G10" s="1"/>
  <c r="F50" i="1" s="1"/>
  <c r="H42"/>
  <c r="C8" i="2"/>
  <c r="C4" i="7"/>
  <c r="C7" i="2"/>
  <c r="C9" i="7"/>
  <c r="F7"/>
  <c r="G7" s="1"/>
  <c r="C22"/>
  <c r="E22" s="1"/>
  <c r="G22" s="1"/>
  <c r="D6"/>
  <c r="F6" s="1"/>
  <c r="G6" s="1"/>
  <c r="G6" i="14"/>
  <c r="G20" s="1"/>
  <c r="F12" i="2"/>
  <c r="F13" s="1"/>
  <c r="G12"/>
  <c r="G13" s="1"/>
  <c r="H12"/>
  <c r="H13" s="1"/>
  <c r="C45" i="1"/>
  <c r="D45"/>
  <c r="G45"/>
  <c r="E45"/>
  <c r="H45"/>
  <c r="F45"/>
  <c r="D12" i="2"/>
  <c r="D13" s="1"/>
  <c r="F40" i="1"/>
  <c r="E40"/>
  <c r="D40"/>
  <c r="G40"/>
  <c r="H40"/>
  <c r="C40"/>
  <c r="E33"/>
  <c r="B14" i="15"/>
  <c r="H14" s="1"/>
  <c r="O13"/>
  <c r="G50" i="1" l="1"/>
  <c r="J12" i="15"/>
  <c r="K12" s="1"/>
  <c r="L12" s="1"/>
  <c r="L14"/>
  <c r="H20" i="14"/>
  <c r="G26" i="7" s="1"/>
  <c r="E50" i="1"/>
  <c r="C33"/>
  <c r="J10" i="15" s="1"/>
  <c r="H50" i="1"/>
  <c r="C48"/>
  <c r="D48"/>
  <c r="E48"/>
  <c r="F48"/>
  <c r="H48"/>
  <c r="F9" i="7"/>
  <c r="G9" s="1"/>
  <c r="C24"/>
  <c r="E24" s="1"/>
  <c r="G24" s="1"/>
  <c r="F4"/>
  <c r="G4" s="1"/>
  <c r="C21"/>
  <c r="E21" s="1"/>
  <c r="G21" s="1"/>
  <c r="F47" i="1"/>
  <c r="D47"/>
  <c r="H47"/>
  <c r="G47"/>
  <c r="C47"/>
  <c r="E47"/>
  <c r="F46"/>
  <c r="G46"/>
  <c r="H46"/>
  <c r="E46"/>
  <c r="C46"/>
  <c r="D46"/>
  <c r="H39"/>
  <c r="F39"/>
  <c r="E39"/>
  <c r="C39"/>
  <c r="D39"/>
  <c r="G39"/>
  <c r="D11" i="15"/>
  <c r="D17" i="2"/>
  <c r="D15" i="15"/>
  <c r="H17" i="2"/>
  <c r="D14" i="15"/>
  <c r="G17" i="2"/>
  <c r="D13" i="15"/>
  <c r="F17" i="2"/>
  <c r="E12"/>
  <c r="E13" s="1"/>
  <c r="O14" i="15"/>
  <c r="B15"/>
  <c r="H15" s="1"/>
  <c r="L15" l="1"/>
  <c r="C12" i="2"/>
  <c r="C13" s="1"/>
  <c r="D10" i="15" s="1"/>
  <c r="Q10" s="1"/>
  <c r="R10" s="1"/>
  <c r="S10" s="1"/>
  <c r="K10"/>
  <c r="L10" s="1"/>
  <c r="M15" s="1"/>
  <c r="F38" i="1"/>
  <c r="H38"/>
  <c r="E38"/>
  <c r="C38"/>
  <c r="G38"/>
  <c r="D38"/>
  <c r="C37"/>
  <c r="H37"/>
  <c r="G37"/>
  <c r="F37"/>
  <c r="D37"/>
  <c r="E37"/>
  <c r="G44"/>
  <c r="H44"/>
  <c r="D44"/>
  <c r="C44"/>
  <c r="F44"/>
  <c r="E44"/>
  <c r="C41"/>
  <c r="F41"/>
  <c r="E41"/>
  <c r="G41"/>
  <c r="D41"/>
  <c r="H41"/>
  <c r="H49"/>
  <c r="D49"/>
  <c r="G49"/>
  <c r="F49"/>
  <c r="C49"/>
  <c r="E49"/>
  <c r="Q13" i="15"/>
  <c r="R13" s="1"/>
  <c r="S13" s="1"/>
  <c r="E13"/>
  <c r="F13" s="1"/>
  <c r="Q14"/>
  <c r="R14" s="1"/>
  <c r="S14" s="1"/>
  <c r="E14"/>
  <c r="F14" s="1"/>
  <c r="Q15"/>
  <c r="R15" s="1"/>
  <c r="D17"/>
  <c r="D18"/>
  <c r="D19"/>
  <c r="D20"/>
  <c r="D21"/>
  <c r="D23"/>
  <c r="D25"/>
  <c r="D35"/>
  <c r="D28"/>
  <c r="D16"/>
  <c r="D22"/>
  <c r="D24"/>
  <c r="D26"/>
  <c r="D27"/>
  <c r="D29"/>
  <c r="D30"/>
  <c r="D31"/>
  <c r="D32"/>
  <c r="D33"/>
  <c r="D34"/>
  <c r="D36"/>
  <c r="D37"/>
  <c r="D38"/>
  <c r="D39"/>
  <c r="E15"/>
  <c r="F15" s="1"/>
  <c r="Q11"/>
  <c r="R11" s="1"/>
  <c r="S11" s="1"/>
  <c r="E11"/>
  <c r="F11" s="1"/>
  <c r="D12"/>
  <c r="E17" i="2"/>
  <c r="O15" i="15"/>
  <c r="B16"/>
  <c r="H16" s="1"/>
  <c r="L16" s="1"/>
  <c r="M47" s="1"/>
  <c r="C59" i="1" l="1"/>
  <c r="C61" s="1"/>
  <c r="C65" s="1"/>
  <c r="D51" s="1"/>
  <c r="D59" s="1"/>
  <c r="D61" s="1"/>
  <c r="D63" s="1"/>
  <c r="C17" i="2"/>
  <c r="E10" i="15"/>
  <c r="F10" s="1"/>
  <c r="M10"/>
  <c r="M11"/>
  <c r="M12"/>
  <c r="M13"/>
  <c r="M14"/>
  <c r="S15"/>
  <c r="M16"/>
  <c r="Q12"/>
  <c r="R12" s="1"/>
  <c r="S12" s="1"/>
  <c r="T13" s="1"/>
  <c r="E12"/>
  <c r="F12" s="1"/>
  <c r="T10"/>
  <c r="T11"/>
  <c r="Q39"/>
  <c r="R39" s="1"/>
  <c r="E39"/>
  <c r="Q37"/>
  <c r="R37" s="1"/>
  <c r="E37"/>
  <c r="Q34"/>
  <c r="R34" s="1"/>
  <c r="E34"/>
  <c r="Q32"/>
  <c r="R32" s="1"/>
  <c r="E32"/>
  <c r="Q30"/>
  <c r="R30" s="1"/>
  <c r="E30"/>
  <c r="Q27"/>
  <c r="R27" s="1"/>
  <c r="E27"/>
  <c r="Q24"/>
  <c r="R24" s="1"/>
  <c r="E24"/>
  <c r="Q16"/>
  <c r="R16" s="1"/>
  <c r="E16"/>
  <c r="F16" s="1"/>
  <c r="Q35"/>
  <c r="R35" s="1"/>
  <c r="E35"/>
  <c r="Q23"/>
  <c r="R23" s="1"/>
  <c r="E23"/>
  <c r="Q20"/>
  <c r="R20" s="1"/>
  <c r="E20"/>
  <c r="Q18"/>
  <c r="R18" s="1"/>
  <c r="E18"/>
  <c r="Q38"/>
  <c r="R38" s="1"/>
  <c r="E38"/>
  <c r="Q36"/>
  <c r="R36" s="1"/>
  <c r="E36"/>
  <c r="Q33"/>
  <c r="R33" s="1"/>
  <c r="E33"/>
  <c r="Q31"/>
  <c r="R31" s="1"/>
  <c r="E31"/>
  <c r="Q29"/>
  <c r="R29" s="1"/>
  <c r="E29"/>
  <c r="Q26"/>
  <c r="R26" s="1"/>
  <c r="E26"/>
  <c r="Q22"/>
  <c r="R22" s="1"/>
  <c r="E22"/>
  <c r="Q28"/>
  <c r="R28" s="1"/>
  <c r="E28"/>
  <c r="Q25"/>
  <c r="R25" s="1"/>
  <c r="E25"/>
  <c r="Q21"/>
  <c r="R21" s="1"/>
  <c r="E21"/>
  <c r="Q19"/>
  <c r="R19" s="1"/>
  <c r="E19"/>
  <c r="Q17"/>
  <c r="R17" s="1"/>
  <c r="E17"/>
  <c r="O16"/>
  <c r="B17"/>
  <c r="H17" s="1"/>
  <c r="C63" i="1" l="1"/>
  <c r="D65"/>
  <c r="E51" s="1"/>
  <c r="E59" s="1"/>
  <c r="E61" s="1"/>
  <c r="E63" s="1"/>
  <c r="S16" i="15"/>
  <c r="T16" s="1"/>
  <c r="T15"/>
  <c r="L17"/>
  <c r="T14"/>
  <c r="T12"/>
  <c r="O17"/>
  <c r="S17" s="1"/>
  <c r="B18"/>
  <c r="H18" s="1"/>
  <c r="L18" s="1"/>
  <c r="F17"/>
  <c r="E65" i="1" l="1"/>
  <c r="F51" s="1"/>
  <c r="F59" s="1"/>
  <c r="F61" s="1"/>
  <c r="F63" s="1"/>
  <c r="T17" i="15"/>
  <c r="M18"/>
  <c r="M17"/>
  <c r="O18"/>
  <c r="S18" s="1"/>
  <c r="B19"/>
  <c r="H19" s="1"/>
  <c r="L19" s="1"/>
  <c r="M19" s="1"/>
  <c r="F18"/>
  <c r="F65" i="1" l="1"/>
  <c r="G51" s="1"/>
  <c r="G59" s="1"/>
  <c r="G61" s="1"/>
  <c r="G63" s="1"/>
  <c r="T18" i="15"/>
  <c r="O19"/>
  <c r="S19" s="1"/>
  <c r="B20"/>
  <c r="H20" s="1"/>
  <c r="L20" s="1"/>
  <c r="F19"/>
  <c r="G65" i="1" l="1"/>
  <c r="C3" i="8" s="1"/>
  <c r="C7" s="1"/>
  <c r="H57" i="1" s="1"/>
  <c r="M20" i="15"/>
  <c r="T19"/>
  <c r="O20"/>
  <c r="B21"/>
  <c r="H21" s="1"/>
  <c r="L21" s="1"/>
  <c r="M21" s="1"/>
  <c r="F20"/>
  <c r="S20" l="1"/>
  <c r="T20" s="1"/>
  <c r="H59" i="1"/>
  <c r="O21" i="15"/>
  <c r="S21" s="1"/>
  <c r="B22"/>
  <c r="H22" s="1"/>
  <c r="L22" s="1"/>
  <c r="M22" s="1"/>
  <c r="F21"/>
  <c r="H61" i="1" l="1"/>
  <c r="H63" s="1"/>
  <c r="C5" i="9"/>
  <c r="C7"/>
  <c r="C8"/>
  <c r="C9"/>
  <c r="C10"/>
  <c r="C11"/>
  <c r="D5"/>
  <c r="C6"/>
  <c r="D7"/>
  <c r="D8"/>
  <c r="D9"/>
  <c r="D10"/>
  <c r="D11"/>
  <c r="D6"/>
  <c r="E11"/>
  <c r="E10"/>
  <c r="E8"/>
  <c r="E9"/>
  <c r="E6"/>
  <c r="E7"/>
  <c r="E5"/>
  <c r="F11"/>
  <c r="F10"/>
  <c r="F9"/>
  <c r="F7"/>
  <c r="F6"/>
  <c r="F5"/>
  <c r="F8"/>
  <c r="G11"/>
  <c r="G5"/>
  <c r="G10"/>
  <c r="G6"/>
  <c r="G8"/>
  <c r="G9"/>
  <c r="G7"/>
  <c r="H11"/>
  <c r="H5"/>
  <c r="H6"/>
  <c r="H7"/>
  <c r="H8"/>
  <c r="H9"/>
  <c r="H10"/>
  <c r="T47" i="15"/>
  <c r="T21"/>
  <c r="B23"/>
  <c r="H23" s="1"/>
  <c r="L23" s="1"/>
  <c r="O22"/>
  <c r="S22" s="1"/>
  <c r="T22" s="1"/>
  <c r="F22"/>
  <c r="M23" l="1"/>
  <c r="B24"/>
  <c r="H24" s="1"/>
  <c r="L24" s="1"/>
  <c r="M24" s="1"/>
  <c r="O23"/>
  <c r="S23" s="1"/>
  <c r="T23" s="1"/>
  <c r="F23"/>
  <c r="B25" l="1"/>
  <c r="H25" s="1"/>
  <c r="L25" s="1"/>
  <c r="M25" s="1"/>
  <c r="O24"/>
  <c r="S24" s="1"/>
  <c r="T24" s="1"/>
  <c r="F24"/>
  <c r="B26" l="1"/>
  <c r="H26" s="1"/>
  <c r="L26" s="1"/>
  <c r="O25"/>
  <c r="S25" s="1"/>
  <c r="T25" s="1"/>
  <c r="F25"/>
  <c r="M26" l="1"/>
  <c r="B27"/>
  <c r="H27" s="1"/>
  <c r="L27" s="1"/>
  <c r="M27" s="1"/>
  <c r="O26"/>
  <c r="S26" s="1"/>
  <c r="T26" s="1"/>
  <c r="F26"/>
  <c r="O27" l="1"/>
  <c r="S27" s="1"/>
  <c r="T27" s="1"/>
  <c r="B28"/>
  <c r="H28" s="1"/>
  <c r="L28" s="1"/>
  <c r="M28" s="1"/>
  <c r="F27"/>
  <c r="B29" l="1"/>
  <c r="H29" s="1"/>
  <c r="L29" s="1"/>
  <c r="O28"/>
  <c r="S28" s="1"/>
  <c r="T28" s="1"/>
  <c r="F28"/>
  <c r="M29" l="1"/>
  <c r="B30"/>
  <c r="H30" s="1"/>
  <c r="L30" s="1"/>
  <c r="M30" s="1"/>
  <c r="O29"/>
  <c r="S29" s="1"/>
  <c r="T29" s="1"/>
  <c r="F29"/>
  <c r="B31" l="1"/>
  <c r="H31" s="1"/>
  <c r="L31" s="1"/>
  <c r="M31" s="1"/>
  <c r="O30"/>
  <c r="S30" s="1"/>
  <c r="T30" s="1"/>
  <c r="F30"/>
  <c r="O31" l="1"/>
  <c r="S31" s="1"/>
  <c r="T31" s="1"/>
  <c r="B32"/>
  <c r="H32" s="1"/>
  <c r="L32" s="1"/>
  <c r="M32" s="1"/>
  <c r="F31"/>
  <c r="B33" l="1"/>
  <c r="H33" s="1"/>
  <c r="L33" s="1"/>
  <c r="M33" s="1"/>
  <c r="O32"/>
  <c r="S32" s="1"/>
  <c r="T32" s="1"/>
  <c r="F32"/>
  <c r="B34" l="1"/>
  <c r="H34" s="1"/>
  <c r="L34" s="1"/>
  <c r="M34" s="1"/>
  <c r="O33"/>
  <c r="S33" s="1"/>
  <c r="T33" s="1"/>
  <c r="F33"/>
  <c r="B35" l="1"/>
  <c r="H35" s="1"/>
  <c r="L35" s="1"/>
  <c r="M35" s="1"/>
  <c r="O34"/>
  <c r="S34" s="1"/>
  <c r="T34" s="1"/>
  <c r="F34"/>
  <c r="O35" l="1"/>
  <c r="S35" s="1"/>
  <c r="T35" s="1"/>
  <c r="B36"/>
  <c r="H36" s="1"/>
  <c r="L36" s="1"/>
  <c r="M36" s="1"/>
  <c r="F35"/>
  <c r="O36" l="1"/>
  <c r="S36" s="1"/>
  <c r="T36" s="1"/>
  <c r="B37"/>
  <c r="H37" s="1"/>
  <c r="L37" s="1"/>
  <c r="M37" s="1"/>
  <c r="F36"/>
  <c r="O37" l="1"/>
  <c r="S37" s="1"/>
  <c r="T37" s="1"/>
  <c r="B38"/>
  <c r="H38" s="1"/>
  <c r="L38" s="1"/>
  <c r="M38" s="1"/>
  <c r="F37"/>
  <c r="O38" l="1"/>
  <c r="S38" s="1"/>
  <c r="T38" s="1"/>
  <c r="B39"/>
  <c r="H39" s="1"/>
  <c r="L39" s="1"/>
  <c r="M39" s="1"/>
  <c r="F38"/>
  <c r="O39" l="1"/>
  <c r="S39" s="1"/>
  <c r="T39" s="1"/>
  <c r="F39"/>
  <c r="F47" s="1"/>
</calcChain>
</file>

<file path=xl/sharedStrings.xml><?xml version="1.0" encoding="utf-8"?>
<sst xmlns="http://schemas.openxmlformats.org/spreadsheetml/2006/main" count="664" uniqueCount="408">
  <si>
    <t>Establishment Years</t>
  </si>
  <si>
    <t xml:space="preserve"> Year 1</t>
  </si>
  <si>
    <t>Year 2</t>
  </si>
  <si>
    <t>Year 3</t>
  </si>
  <si>
    <t>Year 4</t>
  </si>
  <si>
    <t>Trellis System</t>
  </si>
  <si>
    <t>Irrigation System</t>
  </si>
  <si>
    <t>Mainline &amp; Pump</t>
  </si>
  <si>
    <t>Establishment</t>
  </si>
  <si>
    <t>Pond</t>
  </si>
  <si>
    <t>Depreciation</t>
  </si>
  <si>
    <t>Trellis</t>
  </si>
  <si>
    <t>Orchard Activities</t>
  </si>
  <si>
    <t>Beehives</t>
  </si>
  <si>
    <t>Interest</t>
  </si>
  <si>
    <t>Irrigation/Electric Charge</t>
  </si>
  <si>
    <t>Land</t>
  </si>
  <si>
    <t>Other Fixed Costs</t>
  </si>
  <si>
    <t>Maintenance and Repairs</t>
  </si>
  <si>
    <t>Insurance Cost (all farm)</t>
  </si>
  <si>
    <t>Management Cost</t>
  </si>
  <si>
    <t>Total Fixed Costs</t>
  </si>
  <si>
    <t>Other Variable Costs</t>
  </si>
  <si>
    <t>TOTAL COSTS</t>
  </si>
  <si>
    <t>ESTIMATED NET RETURNS</t>
  </si>
  <si>
    <t>Total Variable Costs</t>
  </si>
  <si>
    <t>Accumulated Establishment Costs</t>
  </si>
  <si>
    <t>Wind Machine</t>
  </si>
  <si>
    <t>Year 5</t>
  </si>
  <si>
    <t>Year 1</t>
  </si>
  <si>
    <t xml:space="preserve">Trees </t>
  </si>
  <si>
    <t>wire</t>
  </si>
  <si>
    <t>picking (multiple picks)</t>
  </si>
  <si>
    <t>Units per Acre</t>
  </si>
  <si>
    <t>Number of Acres</t>
  </si>
  <si>
    <t>Cost per Unit ($)</t>
  </si>
  <si>
    <t>Cost per Acre ($)</t>
  </si>
  <si>
    <t>Total Cost Per Acre ($)</t>
  </si>
  <si>
    <t>Total Cost for Block ($)</t>
  </si>
  <si>
    <t>Interest Rate</t>
  </si>
  <si>
    <t>Total Purchase Price ($)</t>
  </si>
  <si>
    <t>Total Interest Cost ($)</t>
  </si>
  <si>
    <t>Total Value Per Acre ($)</t>
  </si>
  <si>
    <t>Years of Use</t>
  </si>
  <si>
    <t>Soil Preparation</t>
  </si>
  <si>
    <t>Variable Costs ($/acre):</t>
  </si>
  <si>
    <t>Fixed Costs ($/acre):</t>
  </si>
  <si>
    <t>Dollar amount to be amortized</t>
  </si>
  <si>
    <t>Amortized Amount Per Year</t>
  </si>
  <si>
    <t>Total Cost</t>
  </si>
  <si>
    <t>Architecture</t>
  </si>
  <si>
    <t>1.</t>
  </si>
  <si>
    <t>2.</t>
  </si>
  <si>
    <t>3.</t>
  </si>
  <si>
    <t>4.</t>
  </si>
  <si>
    <t>Your Costs</t>
  </si>
  <si>
    <t>5.</t>
  </si>
  <si>
    <t>full sized trees (5/8" or better)</t>
  </si>
  <si>
    <t>Tree density per acre:</t>
  </si>
  <si>
    <t xml:space="preserve">Irrigation  </t>
  </si>
  <si>
    <t>installation labor</t>
  </si>
  <si>
    <t>6.</t>
  </si>
  <si>
    <t>Total acres in block:</t>
  </si>
  <si>
    <t>Productive block acres:</t>
  </si>
  <si>
    <t>Number of Units</t>
  </si>
  <si>
    <t>Tractor-70HP, 4WD</t>
  </si>
  <si>
    <t>Tractor-40HP, 4WD</t>
  </si>
  <si>
    <t>Land &amp; Property Taxes</t>
  </si>
  <si>
    <t>Instructions for Using the Spreadsheets</t>
  </si>
  <si>
    <r>
      <t xml:space="preserve">Values in </t>
    </r>
    <r>
      <rPr>
        <b/>
        <sz val="11"/>
        <rFont val="Times New Roman"/>
        <family val="1"/>
      </rPr>
      <t>black</t>
    </r>
    <r>
      <rPr>
        <sz val="11"/>
        <rFont val="Times New Roman"/>
        <family val="1"/>
      </rPr>
      <t xml:space="preserve"> are calculated using the input data and cannot be modified.</t>
    </r>
  </si>
  <si>
    <t xml:space="preserve">Budget Assumptions </t>
  </si>
  <si>
    <t>Insurance (all farm)</t>
  </si>
  <si>
    <t>Harvest Costs (per bin)</t>
  </si>
  <si>
    <t>Fuel &amp; Lube</t>
  </si>
  <si>
    <t>Ladder-8'</t>
  </si>
  <si>
    <t>planting per tree (labor and tractor)</t>
  </si>
  <si>
    <t>labor</t>
  </si>
  <si>
    <t>Mainline and Pump</t>
  </si>
  <si>
    <t>materials</t>
  </si>
  <si>
    <t>Trees (including labor)</t>
  </si>
  <si>
    <t>Establishment Costs (5%)</t>
  </si>
  <si>
    <t>Total</t>
  </si>
  <si>
    <t>Overhead cost</t>
  </si>
  <si>
    <t>Interest cost</t>
  </si>
  <si>
    <t>7.</t>
  </si>
  <si>
    <t>Soil prep</t>
  </si>
  <si>
    <t>Trees</t>
  </si>
  <si>
    <t>Maintenance &amp; Repairs</t>
  </si>
  <si>
    <t>Chemicals</t>
  </si>
  <si>
    <t>Hours of chemical application</t>
  </si>
  <si>
    <t>Irrigation/electric charge</t>
  </si>
  <si>
    <t>Hours of thinning labor</t>
  </si>
  <si>
    <t>Cost per bee hive</t>
  </si>
  <si>
    <t>Number of bee hives per acre</t>
  </si>
  <si>
    <t>Interest rate</t>
  </si>
  <si>
    <t>Establishment interest rate</t>
  </si>
  <si>
    <t>No. of years to borrow operating capital</t>
  </si>
  <si>
    <t>Total acres in block</t>
  </si>
  <si>
    <t>Total productive acres</t>
  </si>
  <si>
    <t>Planted trees per acre</t>
  </si>
  <si>
    <t>Total orchard acres</t>
  </si>
  <si>
    <t>Land cost</t>
  </si>
  <si>
    <t>Irrigation installation</t>
  </si>
  <si>
    <t>Cost of fertilizer - material</t>
  </si>
  <si>
    <t>Irrigation</t>
  </si>
  <si>
    <t>Cost of chemicals - materials</t>
  </si>
  <si>
    <t>Fertilizer after Soil Prep</t>
  </si>
  <si>
    <t>Hours of irrigation labor</t>
  </si>
  <si>
    <t>Pruning and training</t>
  </si>
  <si>
    <t>Green fruit thinning</t>
  </si>
  <si>
    <t>Hours of frost protection (labor)</t>
  </si>
  <si>
    <t>Harvest per bin</t>
  </si>
  <si>
    <t>8.</t>
  </si>
  <si>
    <t>Cost of labor per hour</t>
  </si>
  <si>
    <t>Tree cost per unit</t>
  </si>
  <si>
    <t xml:space="preserve">Irrigation </t>
  </si>
  <si>
    <t>Beehive</t>
  </si>
  <si>
    <t>Wind machine</t>
  </si>
  <si>
    <t>Miscellaneous labor (lump sum)</t>
  </si>
  <si>
    <t xml:space="preserve">  </t>
  </si>
  <si>
    <t>laterals, sprinklers, sub-lines</t>
  </si>
  <si>
    <t>Pond excavation (custom)</t>
  </si>
  <si>
    <t>Hours of training</t>
  </si>
  <si>
    <t>Hours of pruning</t>
  </si>
  <si>
    <t>Hours of fertilizer application (doing fertigation)</t>
  </si>
  <si>
    <t>Hours of wind machine installation</t>
  </si>
  <si>
    <t xml:space="preserve">Interest on investment represents a 5% opportunity cost to the enterprise. These are forgone earnings for investing money in orchard, equipment and buildings rather than in an alternative activity. This also represents interest on funds borrowed to finance orchard, equipment, and building purchases. </t>
  </si>
  <si>
    <t>rip and disk ground (custom)</t>
  </si>
  <si>
    <t xml:space="preserve">Hours to plant a tree </t>
  </si>
  <si>
    <t xml:space="preserve">Overhead </t>
  </si>
  <si>
    <t>Trellis (total cost)</t>
  </si>
  <si>
    <t>Laterals, sprinklers, sub-lines</t>
  </si>
  <si>
    <t>Installation labor</t>
  </si>
  <si>
    <t>Annual Requirements ($)</t>
  </si>
  <si>
    <t>Total Requirements ($)</t>
  </si>
  <si>
    <t>Receipts ($)</t>
  </si>
  <si>
    <t>Net Requirements ($)</t>
  </si>
  <si>
    <t>Tree density per acre</t>
  </si>
  <si>
    <t>Cost of picking labor, per bin</t>
  </si>
  <si>
    <t>Miscellaneous supplies (lump sum)</t>
  </si>
  <si>
    <t>Miscellaneous Supplies</t>
  </si>
  <si>
    <t>Mainline</t>
  </si>
  <si>
    <t>Pumps (irrigation and frost), centrifugal</t>
  </si>
  <si>
    <t>Total Cost ($)</t>
  </si>
  <si>
    <t>FOB Gross Prices per bin</t>
  </si>
  <si>
    <t>Gross Production per acre (number of bins)</t>
  </si>
  <si>
    <t xml:space="preserve">Wind Machine </t>
  </si>
  <si>
    <t>9.</t>
  </si>
  <si>
    <t>Notes:</t>
  </si>
  <si>
    <t>Shaded area denotes a positive profit based on the combination of yield and price.</t>
  </si>
  <si>
    <t>The pond is installed in Year 1.</t>
  </si>
  <si>
    <t>The total value of bare agricultural land (including water rights) is $12,000 per acre with annual property taxes of $120 per acre.</t>
  </si>
  <si>
    <t>Trellis system</t>
  </si>
  <si>
    <t>Notes</t>
  </si>
  <si>
    <t>Mainline, pump &amp; pond</t>
  </si>
  <si>
    <t>Irrigation system</t>
  </si>
  <si>
    <t>Wind machine &amp; alarm system</t>
  </si>
  <si>
    <t>Machinery repair (lump sum)</t>
  </si>
  <si>
    <t>Fuel and lube (lump sum including wind machine)</t>
  </si>
  <si>
    <t xml:space="preserve">All other labor. Excludes pruning, training, thinning, chemical &amp; fertilizer application, planting, irrigation labor, harvest. </t>
  </si>
  <si>
    <t>Other</t>
  </si>
  <si>
    <t>Machine/Equipment/Building (from Table 4)</t>
  </si>
  <si>
    <t>Salvage Value</t>
  </si>
  <si>
    <t xml:space="preserve">Notes: </t>
  </si>
  <si>
    <t>Maintenance &amp; Repair</t>
  </si>
  <si>
    <t>Annual Depreciation Cost per Acre ($)</t>
  </si>
  <si>
    <t>30 years</t>
  </si>
  <si>
    <t>Rip and disk ground (custom)</t>
  </si>
  <si>
    <t>Cost of cover crop - material</t>
  </si>
  <si>
    <t>Hours of cover crop application</t>
  </si>
  <si>
    <t>Water</t>
  </si>
  <si>
    <t>Irrigation Water &amp; Electric Charge</t>
  </si>
  <si>
    <t>Irrigation Water</t>
  </si>
  <si>
    <r>
      <t xml:space="preserve">Values in </t>
    </r>
    <r>
      <rPr>
        <sz val="11"/>
        <color indexed="53"/>
        <rFont val="Times New Roman"/>
        <family val="1"/>
      </rPr>
      <t>orange</t>
    </r>
    <r>
      <rPr>
        <sz val="11"/>
        <color indexed="8"/>
        <rFont val="Times New Roman"/>
        <family val="1"/>
      </rPr>
      <t xml:space="preserve"> are provided by growers who participated in the development of this budget. These values can be changed.  </t>
    </r>
  </si>
  <si>
    <t>fertilizer (materials, through fertigation)</t>
  </si>
  <si>
    <t>cover crop (materials and labor)</t>
  </si>
  <si>
    <t>Year 6 to 30 (Full Production)</t>
  </si>
  <si>
    <t>N/A</t>
  </si>
  <si>
    <t>Price</t>
  </si>
  <si>
    <t>Yield</t>
  </si>
  <si>
    <t>Crop Insurance</t>
  </si>
  <si>
    <t>Appendix 4. Amortization Calculator</t>
  </si>
  <si>
    <t>Total orchard acreage:</t>
  </si>
  <si>
    <t>Appendix 3. Estimation of Salvage Value and Annual Depreciation Cost of Fixed Capital</t>
  </si>
  <si>
    <t>Three dimensional central leader</t>
  </si>
  <si>
    <t>Year</t>
  </si>
  <si>
    <t>Gross Return</t>
  </si>
  <si>
    <t>Net Return</t>
  </si>
  <si>
    <t>Price per bin</t>
  </si>
  <si>
    <t>Yield Year 3</t>
  </si>
  <si>
    <t>Yield Year 4</t>
  </si>
  <si>
    <t>Yield Year 5</t>
  </si>
  <si>
    <t>Yield Full Prod</t>
  </si>
  <si>
    <t>Prod area (acres)</t>
  </si>
  <si>
    <t>NPV</t>
  </si>
  <si>
    <t>d. rate*</t>
  </si>
  <si>
    <t xml:space="preserve">Calculate NPV </t>
  </si>
  <si>
    <t>Discounted Net Return</t>
  </si>
  <si>
    <t>Cumulative Discounted Net Return</t>
  </si>
  <si>
    <t>Payback period (years)</t>
  </si>
  <si>
    <r>
      <t>Full Production</t>
    </r>
    <r>
      <rPr>
        <vertAlign val="superscript"/>
        <sz val="11"/>
        <rFont val="Times New Roman"/>
        <family val="1"/>
      </rPr>
      <t>A</t>
    </r>
  </si>
  <si>
    <r>
      <t>Irrigation Labor</t>
    </r>
    <r>
      <rPr>
        <vertAlign val="superscript"/>
        <sz val="11"/>
        <rFont val="Times New Roman"/>
        <family val="1"/>
      </rPr>
      <t>E</t>
    </r>
  </si>
  <si>
    <r>
      <t>Full Production</t>
    </r>
    <r>
      <rPr>
        <b/>
        <vertAlign val="superscript"/>
        <sz val="11"/>
        <rFont val="Times New Roman"/>
        <family val="1"/>
      </rPr>
      <t>A</t>
    </r>
  </si>
  <si>
    <r>
      <t>A.</t>
    </r>
    <r>
      <rPr>
        <vertAlign val="superscript"/>
        <sz val="10"/>
        <rFont val="Times New Roman"/>
        <family val="1"/>
      </rPr>
      <t xml:space="preserve"> </t>
    </r>
    <r>
      <rPr>
        <sz val="10"/>
        <rFont val="Times New Roman"/>
        <family val="1"/>
      </rPr>
      <t>The full production year is representative of all the remaining years the orchard is in full production (Year 6 to Year 30).</t>
    </r>
  </si>
  <si>
    <r>
      <t>Salvage Value ($)</t>
    </r>
    <r>
      <rPr>
        <b/>
        <vertAlign val="superscript"/>
        <sz val="11"/>
        <color indexed="8"/>
        <rFont val="Times New Roman"/>
        <family val="1"/>
      </rPr>
      <t>A</t>
    </r>
  </si>
  <si>
    <r>
      <t>Interest Cost Per Acre ($)</t>
    </r>
    <r>
      <rPr>
        <b/>
        <vertAlign val="superscript"/>
        <sz val="11"/>
        <color indexed="8"/>
        <rFont val="Times New Roman"/>
        <family val="1"/>
      </rPr>
      <t>B</t>
    </r>
  </si>
  <si>
    <r>
      <t>Irrigation System</t>
    </r>
    <r>
      <rPr>
        <vertAlign val="superscript"/>
        <sz val="11"/>
        <rFont val="Times New Roman"/>
        <family val="1"/>
      </rPr>
      <t>C</t>
    </r>
  </si>
  <si>
    <r>
      <t>Mainline &amp; Pump</t>
    </r>
    <r>
      <rPr>
        <vertAlign val="superscript"/>
        <sz val="11"/>
        <color indexed="8"/>
        <rFont val="Times New Roman"/>
        <family val="1"/>
      </rPr>
      <t>C</t>
    </r>
  </si>
  <si>
    <r>
      <t>Pond</t>
    </r>
    <r>
      <rPr>
        <vertAlign val="superscript"/>
        <sz val="11"/>
        <rFont val="Times New Roman"/>
        <family val="1"/>
      </rPr>
      <t>C</t>
    </r>
  </si>
  <si>
    <r>
      <t>Trellis</t>
    </r>
    <r>
      <rPr>
        <vertAlign val="superscript"/>
        <sz val="11"/>
        <color indexed="8"/>
        <rFont val="Times New Roman"/>
        <family val="1"/>
      </rPr>
      <t>C</t>
    </r>
  </si>
  <si>
    <r>
      <t>Wind Machine</t>
    </r>
    <r>
      <rPr>
        <vertAlign val="superscript"/>
        <sz val="11"/>
        <rFont val="Times New Roman"/>
        <family val="1"/>
      </rPr>
      <t>C</t>
    </r>
    <r>
      <rPr>
        <sz val="11"/>
        <rFont val="Times New Roman"/>
        <family val="1"/>
      </rPr>
      <t xml:space="preserve"> </t>
    </r>
  </si>
  <si>
    <t>A. Not applied to land because land is not a depreciable asset.</t>
  </si>
  <si>
    <r>
      <t>Depreciation Cost Per Acre ($/yr)</t>
    </r>
    <r>
      <rPr>
        <b/>
        <vertAlign val="superscript"/>
        <sz val="11"/>
        <color indexed="8"/>
        <rFont val="Times New Roman"/>
        <family val="1"/>
      </rPr>
      <t>A</t>
    </r>
  </si>
  <si>
    <r>
      <t>Pond excavation (custom)</t>
    </r>
    <r>
      <rPr>
        <vertAlign val="superscript"/>
        <sz val="11"/>
        <color indexed="8"/>
        <rFont val="Times New Roman"/>
        <family val="1"/>
      </rPr>
      <t>B</t>
    </r>
  </si>
  <si>
    <r>
      <t>Pruning and Training (labor)</t>
    </r>
    <r>
      <rPr>
        <vertAlign val="superscript"/>
        <sz val="11"/>
        <rFont val="Times New Roman"/>
        <family val="1"/>
      </rPr>
      <t>C</t>
    </r>
  </si>
  <si>
    <r>
      <t>Green Fruit Thinning (labor)</t>
    </r>
    <r>
      <rPr>
        <vertAlign val="superscript"/>
        <sz val="11"/>
        <rFont val="Times New Roman"/>
        <family val="1"/>
      </rPr>
      <t>C</t>
    </r>
  </si>
  <si>
    <r>
      <t>Chemicals</t>
    </r>
    <r>
      <rPr>
        <vertAlign val="superscript"/>
        <sz val="11"/>
        <rFont val="Times New Roman"/>
        <family val="1"/>
      </rPr>
      <t>D</t>
    </r>
  </si>
  <si>
    <r>
      <t>labor</t>
    </r>
    <r>
      <rPr>
        <vertAlign val="superscript"/>
        <sz val="11"/>
        <rFont val="Times New Roman"/>
        <family val="1"/>
      </rPr>
      <t>E</t>
    </r>
  </si>
  <si>
    <r>
      <t>Fertilizer</t>
    </r>
    <r>
      <rPr>
        <vertAlign val="superscript"/>
        <sz val="11"/>
        <rFont val="Times New Roman"/>
        <family val="1"/>
      </rPr>
      <t>F</t>
    </r>
  </si>
  <si>
    <r>
      <t>includes water rights</t>
    </r>
    <r>
      <rPr>
        <vertAlign val="superscript"/>
        <sz val="11"/>
        <color indexed="8"/>
        <rFont val="Times New Roman"/>
        <family val="1"/>
      </rPr>
      <t>A</t>
    </r>
  </si>
  <si>
    <r>
      <t>labor</t>
    </r>
    <r>
      <rPr>
        <vertAlign val="superscript"/>
        <sz val="11"/>
        <rFont val="Times New Roman"/>
        <family val="1"/>
      </rPr>
      <t>E, G</t>
    </r>
  </si>
  <si>
    <r>
      <t>General Farm Labor</t>
    </r>
    <r>
      <rPr>
        <vertAlign val="superscript"/>
        <sz val="11"/>
        <rFont val="Times New Roman"/>
        <family val="1"/>
      </rPr>
      <t>H</t>
    </r>
  </si>
  <si>
    <r>
      <t>Maintenance &amp; Repair</t>
    </r>
    <r>
      <rPr>
        <vertAlign val="superscript"/>
        <sz val="11"/>
        <rFont val="Times New Roman"/>
        <family val="1"/>
      </rPr>
      <t>I</t>
    </r>
  </si>
  <si>
    <r>
      <t>Fuel &amp; Lube</t>
    </r>
    <r>
      <rPr>
        <vertAlign val="superscript"/>
        <sz val="11"/>
        <rFont val="Times New Roman"/>
        <family val="1"/>
      </rPr>
      <t>J</t>
    </r>
  </si>
  <si>
    <r>
      <t>Management Overhead</t>
    </r>
    <r>
      <rPr>
        <vertAlign val="superscript"/>
        <sz val="11"/>
        <rFont val="Times New Roman"/>
        <family val="1"/>
      </rPr>
      <t>K</t>
    </r>
  </si>
  <si>
    <r>
      <t>Wind Machine (unit and installation labor)</t>
    </r>
    <r>
      <rPr>
        <vertAlign val="superscript"/>
        <sz val="11"/>
        <rFont val="Times New Roman"/>
        <family val="1"/>
      </rPr>
      <t>L</t>
    </r>
  </si>
  <si>
    <r>
      <t>Frost protection (labor)</t>
    </r>
    <r>
      <rPr>
        <vertAlign val="superscript"/>
        <sz val="11"/>
        <rFont val="Times New Roman"/>
        <family val="1"/>
      </rPr>
      <t>L</t>
    </r>
  </si>
  <si>
    <r>
      <t>labor</t>
    </r>
    <r>
      <rPr>
        <vertAlign val="superscript"/>
        <sz val="11"/>
        <rFont val="Times New Roman"/>
        <family val="1"/>
      </rPr>
      <t>E,G</t>
    </r>
  </si>
  <si>
    <r>
      <t>Management Overhead</t>
    </r>
    <r>
      <rPr>
        <vertAlign val="superscript"/>
        <sz val="11"/>
        <rFont val="Times New Roman"/>
        <family val="1"/>
      </rPr>
      <t>J</t>
    </r>
  </si>
  <si>
    <t>D. Includes all chemicals applied (herbicides, insecticides, fungicides, rodenticide, sunburn protection, chemical thinning, and growth regulator).</t>
  </si>
  <si>
    <t xml:space="preserve">B. Costs assume an un-lined pond.  </t>
  </si>
  <si>
    <t>A. Includes land for roads and buildings.</t>
  </si>
  <si>
    <t>F. Includes all types of fertilizer used.</t>
  </si>
  <si>
    <t>G. There is no labor from Years 1 to 2 because fertilizer application is all done through fertigation.</t>
  </si>
  <si>
    <t>H.  Refers to miscellaneous or all other labor (lump sum). Rate includes applicable taxes and benefits.</t>
  </si>
  <si>
    <t>I. Includes maintenance and repairs of mainline, pump and pond; irrigation system; trellis system; wind machine and alarm system and machinery.</t>
  </si>
  <si>
    <t>J. Fuel and lube cost includes propane cost for wind machine starting Year 3.</t>
  </si>
  <si>
    <t>K. Includes management salary, cellphone, gas, etc.</t>
  </si>
  <si>
    <t>A. The full production year is representative of all the remaining years the orchard is in full production (Year 6 to Year 30).</t>
  </si>
  <si>
    <t>Housing for Manager</t>
  </si>
  <si>
    <t>4-Wheeler</t>
  </si>
  <si>
    <t>Speed Sprayer</t>
  </si>
  <si>
    <t>Weed Spray Boom &amp; Tank</t>
  </si>
  <si>
    <t>Mower-Rotary (7 ft)</t>
  </si>
  <si>
    <t>Flail Mower</t>
  </si>
  <si>
    <t>Fork Lift</t>
  </si>
  <si>
    <t>Bin Trailer</t>
  </si>
  <si>
    <t>Pickup Truck</t>
  </si>
  <si>
    <t>A. Includes manager office, restroom, pesticide handling area and storage, dry storage, area for equipment cover, and shop bay for equipment work/repair.</t>
  </si>
  <si>
    <t>C. Includes compressor, welder, pressure washer and miscellaneous tools.</t>
  </si>
  <si>
    <t>Cost of all fertilizer - material (fertigation)</t>
  </si>
  <si>
    <t>Figure is for unlined pond. With liners, cost will double.</t>
  </si>
  <si>
    <t>In Year 1, small amounts of blossoms are removed by hand on one-year old trees (to prevent fruit on young trees, to reduce fire blight risk, which is primary via the blossoms).</t>
  </si>
  <si>
    <t>Includes everything - for example: chemicals for thinning, growth regulator, pest control.</t>
  </si>
  <si>
    <t>Includes everything.</t>
  </si>
  <si>
    <t>Management overhead</t>
  </si>
  <si>
    <r>
      <t>Number of years</t>
    </r>
    <r>
      <rPr>
        <vertAlign val="superscript"/>
        <sz val="11"/>
        <color indexed="8"/>
        <rFont val="Times New Roman"/>
        <family val="1"/>
      </rPr>
      <t>A</t>
    </r>
  </si>
  <si>
    <t xml:space="preserve">A. Total life of planting - establishment years. </t>
  </si>
  <si>
    <r>
      <t>Purchase Price (from Table 4)</t>
    </r>
    <r>
      <rPr>
        <b/>
        <vertAlign val="superscript"/>
        <sz val="11"/>
        <color indexed="8"/>
        <rFont val="Times New Roman"/>
        <family val="1"/>
      </rPr>
      <t>D</t>
    </r>
  </si>
  <si>
    <r>
      <t>Expected useful life (years)</t>
    </r>
    <r>
      <rPr>
        <b/>
        <vertAlign val="superscript"/>
        <sz val="11"/>
        <rFont val="Times New Roman"/>
        <family val="1"/>
      </rPr>
      <t>E</t>
    </r>
  </si>
  <si>
    <r>
      <t>As % of Current Mkt Value</t>
    </r>
    <r>
      <rPr>
        <b/>
        <vertAlign val="superscript"/>
        <sz val="11"/>
        <rFont val="Times New Roman"/>
        <family val="1"/>
      </rPr>
      <t>E</t>
    </r>
  </si>
  <si>
    <r>
      <t>Salvage Value ($)</t>
    </r>
    <r>
      <rPr>
        <b/>
        <vertAlign val="superscript"/>
        <sz val="11"/>
        <rFont val="Times New Roman"/>
        <family val="1"/>
      </rPr>
      <t>F</t>
    </r>
  </si>
  <si>
    <r>
      <t>Annual Depreciation Cost ($)</t>
    </r>
    <r>
      <rPr>
        <b/>
        <vertAlign val="superscript"/>
        <sz val="11"/>
        <rFont val="Times New Roman"/>
        <family val="1"/>
      </rPr>
      <t>G</t>
    </r>
  </si>
  <si>
    <r>
      <t>Machine Shop/Shed</t>
    </r>
    <r>
      <rPr>
        <vertAlign val="superscript"/>
        <sz val="11"/>
        <rFont val="Times New Roman"/>
        <family val="1"/>
      </rPr>
      <t>A</t>
    </r>
  </si>
  <si>
    <r>
      <t>Miscellaneous Equipment</t>
    </r>
    <r>
      <rPr>
        <vertAlign val="superscript"/>
        <sz val="11"/>
        <rFont val="Times New Roman"/>
        <family val="1"/>
      </rPr>
      <t>B</t>
    </r>
  </si>
  <si>
    <r>
      <t>Shop Equipment</t>
    </r>
    <r>
      <rPr>
        <vertAlign val="superscript"/>
        <sz val="11"/>
        <rFont val="Times New Roman"/>
        <family val="1"/>
      </rPr>
      <t>C</t>
    </r>
  </si>
  <si>
    <t>D. Purchase price corresponds to new machinery, equipment or building.</t>
  </si>
  <si>
    <t>E. These values  in orange must be changed as applicable to own production setting.</t>
  </si>
  <si>
    <r>
      <rPr>
        <i/>
        <sz val="10"/>
        <rFont val="Times New Roman"/>
        <family val="1"/>
      </rPr>
      <t>F. Salvage Value</t>
    </r>
    <r>
      <rPr>
        <sz val="10"/>
        <rFont val="Times New Roman"/>
        <family val="1"/>
      </rPr>
      <t xml:space="preserve"> refers to the estimated value of an asset at the end of its useful life. In general, a salvage value will be a positive value. However, it may be zero if the asset will be used until it is completely worn out and will have no scrap value at the end of its useful life.</t>
    </r>
  </si>
  <si>
    <r>
      <t xml:space="preserve">G. </t>
    </r>
    <r>
      <rPr>
        <i/>
        <sz val="10"/>
        <rFont val="Times New Roman"/>
        <family val="1"/>
      </rPr>
      <t>Depreciation cost</t>
    </r>
    <r>
      <rPr>
        <sz val="10"/>
        <rFont val="Times New Roman"/>
        <family val="1"/>
      </rPr>
      <t xml:space="preserve"> is calculated as straight line depreciation: (Total Purchase Price - Salvage Value)/Years of Use.</t>
    </r>
  </si>
  <si>
    <r>
      <t>Pruning and Training (labor)</t>
    </r>
    <r>
      <rPr>
        <vertAlign val="superscript"/>
        <sz val="11"/>
        <rFont val="Times New Roman"/>
        <family val="1"/>
      </rPr>
      <t>A</t>
    </r>
  </si>
  <si>
    <r>
      <t>Green Fruit Thinning (labor)</t>
    </r>
    <r>
      <rPr>
        <vertAlign val="superscript"/>
        <sz val="11"/>
        <rFont val="Times New Roman"/>
        <family val="1"/>
      </rPr>
      <t>A</t>
    </r>
  </si>
  <si>
    <r>
      <t>Chemicals</t>
    </r>
    <r>
      <rPr>
        <vertAlign val="superscript"/>
        <sz val="11"/>
        <rFont val="Times New Roman"/>
        <family val="1"/>
      </rPr>
      <t>B</t>
    </r>
  </si>
  <si>
    <r>
      <t>labor</t>
    </r>
    <r>
      <rPr>
        <vertAlign val="superscript"/>
        <sz val="11"/>
        <rFont val="Times New Roman"/>
        <family val="1"/>
      </rPr>
      <t>C</t>
    </r>
  </si>
  <si>
    <r>
      <t>Fertilizer</t>
    </r>
    <r>
      <rPr>
        <vertAlign val="superscript"/>
        <sz val="11"/>
        <rFont val="Times New Roman"/>
        <family val="1"/>
      </rPr>
      <t>D</t>
    </r>
  </si>
  <si>
    <r>
      <t>General Farm Labor</t>
    </r>
    <r>
      <rPr>
        <vertAlign val="superscript"/>
        <sz val="11"/>
        <rFont val="Times New Roman"/>
        <family val="1"/>
      </rPr>
      <t>E</t>
    </r>
  </si>
  <si>
    <r>
      <t>Irrigation Labor</t>
    </r>
    <r>
      <rPr>
        <vertAlign val="superscript"/>
        <sz val="11"/>
        <rFont val="Times New Roman"/>
        <family val="1"/>
      </rPr>
      <t>F</t>
    </r>
  </si>
  <si>
    <r>
      <t>Frost protection (labor)</t>
    </r>
    <r>
      <rPr>
        <vertAlign val="superscript"/>
        <sz val="11"/>
        <rFont val="Times New Roman"/>
        <family val="1"/>
      </rPr>
      <t>F</t>
    </r>
  </si>
  <si>
    <r>
      <t>Maintenance &amp; Repair</t>
    </r>
    <r>
      <rPr>
        <vertAlign val="superscript"/>
        <sz val="11"/>
        <rFont val="Times New Roman"/>
        <family val="1"/>
      </rPr>
      <t>G</t>
    </r>
  </si>
  <si>
    <r>
      <t>Fuel &amp; Lube</t>
    </r>
    <r>
      <rPr>
        <vertAlign val="superscript"/>
        <sz val="11"/>
        <rFont val="Times New Roman"/>
        <family val="1"/>
      </rPr>
      <t>H</t>
    </r>
  </si>
  <si>
    <r>
      <t>Management Overhead</t>
    </r>
    <r>
      <rPr>
        <vertAlign val="superscript"/>
        <sz val="11"/>
        <rFont val="Times New Roman"/>
        <family val="1"/>
      </rPr>
      <t>I</t>
    </r>
  </si>
  <si>
    <t>B. Includes all chemicals applied (herbicides, insecticides, fungicides, rodenticide, sunburn protection, chemical thinning, and growth regulator).</t>
  </si>
  <si>
    <t>D. Includes all types of fertilizer used.</t>
  </si>
  <si>
    <t>E. Refers to miscellaneous or all other labor (lump sum). Rate includes applicable taxes and benefits.</t>
  </si>
  <si>
    <t>G. Includes maintenance and repairs of mainline, pump and pond; irrigation system; trellis system; wind machine and alarm system and machinery.</t>
  </si>
  <si>
    <t>I. Includes management salary, cellphone, gas, etc.</t>
  </si>
  <si>
    <t>H. Fuel and lube cost includes propane cost for wind machine.</t>
  </si>
  <si>
    <t>TOTAL RETURNS ($/acre)</t>
  </si>
  <si>
    <t>Calculate Payback Period of Total Cash Costs</t>
  </si>
  <si>
    <t>Calculate Payback Period of Total Cost</t>
  </si>
  <si>
    <t>2015 Cost Estimates of Establishing and Producing Specialty Cider Apples in Central Washington</t>
  </si>
  <si>
    <t>The main data source for the calculations is Appendix 5 (Data for tables). Changing the orange-colored values in Appendix 5, as well as in other worksheets (Mach. Equip. &amp; Build. Req., Int. Costs &amp; Depr., Appendix 3, and Appendix 4) will automatically change the values in the remaining worksheets including the summary table, "Cider Apple Budget."</t>
  </si>
  <si>
    <t>Table 1. Cider Apple Block Specifications</t>
  </si>
  <si>
    <t>3 feet</t>
  </si>
  <si>
    <t>10 feet</t>
  </si>
  <si>
    <t>Dwarf - M9 series</t>
  </si>
  <si>
    <t>10 acres</t>
  </si>
  <si>
    <t>1,452 trees per acre</t>
  </si>
  <si>
    <t>Tall spindle</t>
  </si>
  <si>
    <t>Fumigation</t>
  </si>
  <si>
    <t>Tall spindle system</t>
  </si>
  <si>
    <t>Wind Machine (cost of units per acre), 1 unit, installed in Year 3</t>
  </si>
  <si>
    <t>Appendix 5. Assumptions for establishing and producing cider apples (Per Acre Basis).</t>
  </si>
  <si>
    <t>fumigation</t>
  </si>
  <si>
    <t>Estimated FOB Price ($/bin)</t>
  </si>
  <si>
    <t xml:space="preserve">B. Assumes a 900 lb bin. </t>
  </si>
  <si>
    <r>
      <t>Table 3. Estimated Net Returns</t>
    </r>
    <r>
      <rPr>
        <b/>
        <vertAlign val="superscript"/>
        <sz val="14"/>
        <rFont val="Times New Roman"/>
        <family val="1"/>
      </rPr>
      <t>A</t>
    </r>
    <r>
      <rPr>
        <b/>
        <sz val="14"/>
        <rFont val="Times New Roman"/>
        <family val="1"/>
      </rPr>
      <t xml:space="preserve"> ($) per Acre at Various Prices and Yields of Cider Apples during Full Production</t>
    </r>
  </si>
  <si>
    <t>Table 4. Summary of Annual Capital Requirements for a 10-Acre Cider Apple Block</t>
  </si>
  <si>
    <t>Land (11 acres)</t>
  </si>
  <si>
    <t xml:space="preserve">The yields of cider apples from Year 3, Year 4, Year 5, and Full Production are 10 bins/ac, 30 bins/ac, 40 bins/ac and 50 bins/ac, respectively.  </t>
  </si>
  <si>
    <t>C. The irrigation system, mainline and pump, pond, trellis system, and wind machine are used for the direct production of  the fruit. Hence, their respective interest costs are divided by the production area (10 acres) to get the interest cost per acre.</t>
  </si>
  <si>
    <t>Appendix 1. Data on Costs During Establishment Years for a 10-Acre Cider Apple Block</t>
  </si>
  <si>
    <t>Appendix 2. Data on Costs During a Full Production Year for a 10-Acre Cider Apple Block</t>
  </si>
  <si>
    <t>The cider apple block specifications are as follows:</t>
  </si>
  <si>
    <t>The information in this publication serves as a general guide for a modern and well-managed cider apple orchard as of 2015. To avoid unwarranted conclusions for any particular operation, closely examine the assumptions used. If they are not appropriate for your situation, adjust the costs and/or returns as appropriate.</t>
  </si>
  <si>
    <t>B. Includes mobile portable toilet (2), quick connect loader, mechanical weeder, detachable bucket for loading fertilizer, gopher baiter, utility trailer, ladder trailer (2), etc.</t>
  </si>
  <si>
    <t>The irrigation infrastructure is a dual system: drip system, and sprinkler system mainly for the ground cover. Water is provided through a public irrigation district.</t>
  </si>
  <si>
    <t>Based on a 900 lb bin; Range for sensitivity analysis - 40 bins to 70 bins per acre during full production.</t>
  </si>
  <si>
    <t>2% of purchase cost, maintenance and repair start in Year 2.</t>
  </si>
  <si>
    <t>1% of purchase cost; maintenance and repair start in Year 4.</t>
  </si>
  <si>
    <t>1% of purchase cost.</t>
  </si>
  <si>
    <t>1% of purchase cost; maintenance and repair start in Year 6.</t>
  </si>
  <si>
    <t>The purchase cost is $31,200 per wind machine, plus $10,000 for the pad. There is 1 wind machine in the 10-acre block.</t>
  </si>
  <si>
    <t>FOB Price (price at the orchard).</t>
  </si>
  <si>
    <r>
      <t>Estimated Production (bins/acre)</t>
    </r>
    <r>
      <rPr>
        <vertAlign val="superscript"/>
        <sz val="11"/>
        <rFont val="Times New Roman"/>
        <family val="1"/>
      </rPr>
      <t>B</t>
    </r>
  </si>
  <si>
    <t>B. Bin size is 900 lb.</t>
  </si>
  <si>
    <r>
      <t>Pruning &amp; Training</t>
    </r>
    <r>
      <rPr>
        <vertAlign val="superscript"/>
        <sz val="11"/>
        <rFont val="Times New Roman"/>
        <family val="1"/>
      </rPr>
      <t>C</t>
    </r>
  </si>
  <si>
    <t>C. Hand labor rate is $13/hour and includes all applicable taxes and benefits.</t>
  </si>
  <si>
    <r>
      <t>Green Fruit Thinning</t>
    </r>
    <r>
      <rPr>
        <vertAlign val="superscript"/>
        <sz val="11"/>
        <rFont val="Times New Roman"/>
        <family val="1"/>
      </rPr>
      <t>C</t>
    </r>
  </si>
  <si>
    <r>
      <t>Irrigation Labor</t>
    </r>
    <r>
      <rPr>
        <vertAlign val="superscript"/>
        <sz val="11"/>
        <rFont val="Times New Roman"/>
        <family val="1"/>
      </rPr>
      <t>D</t>
    </r>
  </si>
  <si>
    <r>
      <t>Chemicals</t>
    </r>
    <r>
      <rPr>
        <vertAlign val="superscript"/>
        <sz val="11"/>
        <rFont val="Times New Roman"/>
        <family val="1"/>
      </rPr>
      <t>D,E</t>
    </r>
  </si>
  <si>
    <r>
      <t>Fertilizer</t>
    </r>
    <r>
      <rPr>
        <vertAlign val="superscript"/>
        <sz val="11"/>
        <rFont val="Times New Roman"/>
        <family val="1"/>
      </rPr>
      <t>D,E</t>
    </r>
  </si>
  <si>
    <r>
      <t>Frost Protection (Labor)</t>
    </r>
    <r>
      <rPr>
        <vertAlign val="superscript"/>
        <sz val="11"/>
        <rFont val="Times New Roman"/>
        <family val="1"/>
      </rPr>
      <t>D</t>
    </r>
  </si>
  <si>
    <t xml:space="preserve">D. Tractor/machinery, irrigation and frost protection labor rate is $14/hour and includes all applicable taxes and benefits. </t>
  </si>
  <si>
    <t>E. Includes materials and labor.</t>
  </si>
  <si>
    <t>F. General farm labor rate is a lump sum per acre and applied to miscellaneous/all other labor. Rate includes applicable taxes and benefits.</t>
  </si>
  <si>
    <r>
      <t>General Farm Labor</t>
    </r>
    <r>
      <rPr>
        <vertAlign val="superscript"/>
        <sz val="11"/>
        <rFont val="Times New Roman"/>
        <family val="1"/>
      </rPr>
      <t>F</t>
    </r>
  </si>
  <si>
    <r>
      <t>Harvest Activities</t>
    </r>
    <r>
      <rPr>
        <u/>
        <vertAlign val="superscript"/>
        <sz val="11"/>
        <rFont val="Times New Roman"/>
        <family val="1"/>
      </rPr>
      <t>G</t>
    </r>
  </si>
  <si>
    <t>A. Includes amortized establishment costs. Net return is what the grower receives after all production expenses have been accounted.</t>
  </si>
  <si>
    <t>B. Operating expenses is the sum of the total variable costs, miscellaneous supplies, land and property taxes, insurance cost, and management cost.</t>
  </si>
  <si>
    <r>
      <t>Operating Expenses</t>
    </r>
    <r>
      <rPr>
        <vertAlign val="superscript"/>
        <sz val="11"/>
        <rFont val="Times New Roman"/>
        <family val="1"/>
      </rPr>
      <t>B</t>
    </r>
  </si>
  <si>
    <t>Table 6. Annual Interest Costs for a 10-Acre Cider Apple Block ($/acre)</t>
  </si>
  <si>
    <t>Table 7. Annual Depreciation Costs for a 10-Acre Cider Apple Block ($/acre)</t>
  </si>
  <si>
    <t>B. Annual interest cost is calculated as: (Total Purchase Price + Salvage Value)/2 x Interest Rate. For land the calculation is: Total Purchase Price x Interest Rate because there is no salvage value for land.</t>
  </si>
  <si>
    <t>A. Annual depreciation cost is calculated as straight line depreciation: (Total Purchase Price – Salvage Value)/Years of Use.</t>
  </si>
  <si>
    <t>C. Hand labor rate is $13/hour and includes applicable taxes and benefits. Applied to pruning and training, and green fruit thinning labor.</t>
  </si>
  <si>
    <t>E. Tractor/machinery labor rate is $14/hour and includes applicable taxes and benefits. Applied to chemical labor application and fertilizer labor application (after soil preparation). Irrigation labor rate is also $14/hour.</t>
  </si>
  <si>
    <t>L. Wind machine installation labor and frost protection labor assumed at $14/hour and includes applicable taxes and benefits.</t>
  </si>
  <si>
    <t>A. Hand labor rate is $13/hour and includes applicable taxes and benefits. Applied to pruning and training, and green fruit thinning labor.</t>
  </si>
  <si>
    <t>C. Tractor/machinery labor rate is $14/hour and includes applicable taxes and benefits.</t>
  </si>
  <si>
    <t>F. Irrigation and frost protection labor rate is $14/hour and includes applicable taxes and benefits.</t>
  </si>
  <si>
    <t>Table 5. Machinery, Equipment, and Building Requirements for a 100-Acre Diverse Cultivar Orchard</t>
  </si>
  <si>
    <t>This budget is based on an 11-acre cider apple block within a 100-acre orchard. It is assumed that 1 acre of this block are dedicated to roads, pond, loading area, buildings, etc., rather than to fruit production. Therefore, the total productive area for this block is 10 acres.</t>
  </si>
  <si>
    <t>10.</t>
  </si>
  <si>
    <t>G. Picking rate = $60 per 900-lb bin.</t>
  </si>
  <si>
    <r>
      <t>FOB Price ($/bin)</t>
    </r>
    <r>
      <rPr>
        <b/>
        <vertAlign val="superscript"/>
        <sz val="11"/>
        <rFont val="Times New Roman"/>
        <family val="1"/>
      </rPr>
      <t>C</t>
    </r>
  </si>
  <si>
    <t>D. Total area of the farm operation is 100 acres and machinery, equipment, and building are used in the entire, diverse cultivar farm. Thus, the corresponding interest costs are divided by the total area (100 acres) to derive the interest cost per acre.</t>
  </si>
  <si>
    <t>Appendix 6. Net Present Value and Payback Period Calculators.</t>
  </si>
  <si>
    <t>Discount rate</t>
  </si>
  <si>
    <t>In-row Spacing</t>
  </si>
  <si>
    <t>Between-row Spacing</t>
  </si>
  <si>
    <t>Rootstock</t>
  </si>
  <si>
    <t>Block Size</t>
  </si>
  <si>
    <t>Life of Planting</t>
  </si>
  <si>
    <t>Tree Density</t>
  </si>
  <si>
    <t>Cultural practices and harvest activities are done by hand and using ladders (no mechanical aids).</t>
  </si>
  <si>
    <r>
      <t>Overhead (5% of Variable Costs)</t>
    </r>
    <r>
      <rPr>
        <vertAlign val="superscript"/>
        <sz val="11"/>
        <rFont val="Times New Roman"/>
        <family val="1"/>
      </rPr>
      <t>H</t>
    </r>
  </si>
  <si>
    <r>
      <t>Interest (5% of Variable Costs)</t>
    </r>
    <r>
      <rPr>
        <vertAlign val="superscript"/>
        <sz val="11"/>
        <rFont val="Times New Roman"/>
        <family val="1"/>
      </rPr>
      <t>I</t>
    </r>
  </si>
  <si>
    <t>H.  Captures indirect costs of operations in the cider apple orchard that fluctuate with the level of production but are not accounted by the variable costs already identified. Also captures unforseeable expenses.</t>
  </si>
  <si>
    <t>I. Interest expense on full year during establishment years and for 3/4 of a year during full production.</t>
  </si>
  <si>
    <r>
      <t>Land</t>
    </r>
    <r>
      <rPr>
        <vertAlign val="superscript"/>
        <sz val="11"/>
        <rFont val="Times New Roman"/>
        <family val="1"/>
      </rPr>
      <t>J</t>
    </r>
  </si>
  <si>
    <r>
      <t>Amortized Establishment Costs</t>
    </r>
    <r>
      <rPr>
        <vertAlign val="superscript"/>
        <sz val="11"/>
        <rFont val="Times New Roman"/>
        <family val="1"/>
      </rPr>
      <t>K</t>
    </r>
  </si>
  <si>
    <t>J. Land cost is approximated by using the 5% interest rate multiplied by the land value of $12,000 per acre.</t>
  </si>
  <si>
    <t>A. Purchase price corresponds to new machinery, equipment or building.</t>
  </si>
  <si>
    <t>Machinery, equipment, and building requirements are utilized in growing diverse crops in the 100-acre farm, which include cider apples. The costs of fixed capital are allocated on the entire farm operation.</t>
  </si>
  <si>
    <r>
      <t>Purchase Price ($)</t>
    </r>
    <r>
      <rPr>
        <b/>
        <vertAlign val="superscript"/>
        <sz val="11"/>
        <rFont val="Times New Roman"/>
        <family val="1"/>
      </rPr>
      <t>A</t>
    </r>
  </si>
  <si>
    <r>
      <t>Machine Shop/Shed</t>
    </r>
    <r>
      <rPr>
        <vertAlign val="superscript"/>
        <sz val="11"/>
        <color theme="9" tint="-0.249977111117893"/>
        <rFont val="Times New Roman"/>
        <family val="1"/>
      </rPr>
      <t>B</t>
    </r>
  </si>
  <si>
    <r>
      <t>Miscellaneous Equipment</t>
    </r>
    <r>
      <rPr>
        <vertAlign val="superscript"/>
        <sz val="11"/>
        <color theme="9" tint="-0.249977111117893"/>
        <rFont val="Times New Roman"/>
        <family val="1"/>
      </rPr>
      <t>C</t>
    </r>
  </si>
  <si>
    <r>
      <t>Shop Equipment</t>
    </r>
    <r>
      <rPr>
        <vertAlign val="superscript"/>
        <sz val="11"/>
        <color theme="9" tint="-0.249977111117893"/>
        <rFont val="Times New Roman"/>
        <family val="1"/>
      </rPr>
      <t>D</t>
    </r>
  </si>
  <si>
    <t>B. Includes pesticide handling area and storage, dry storage, area for equipment cover, and shop bay for equipment work/repair.</t>
  </si>
  <si>
    <t>C. Includes mobile portable toilet (2), quick connect loader, utility trailer, ladder trailer (2), etc.</t>
  </si>
  <si>
    <t>D. Includes compressor, welder, pressure washer and miscellaneous tools.</t>
  </si>
  <si>
    <r>
      <t>Machinery, Equipment, &amp; Building</t>
    </r>
    <r>
      <rPr>
        <vertAlign val="superscript"/>
        <sz val="11"/>
        <rFont val="Times New Roman"/>
        <family val="1"/>
      </rPr>
      <t>D,E</t>
    </r>
  </si>
  <si>
    <t>Machinery, Equipment, &amp; Building</t>
  </si>
  <si>
    <t>A. Cash cost is the sum of total variable cost and land rent. Excludes interest on operating capital.</t>
  </si>
  <si>
    <r>
      <t xml:space="preserve">A. </t>
    </r>
    <r>
      <rPr>
        <b/>
        <sz val="11"/>
        <rFont val="Times New Roman"/>
        <family val="1"/>
      </rPr>
      <t>NPV</t>
    </r>
    <r>
      <rPr>
        <sz val="11"/>
        <rFont val="Times New Roman"/>
        <family val="1"/>
      </rPr>
      <t xml:space="preserve"> is the sum of the discounted cash flows from the first year to the last year of the planting’s productive life. Discounting is a method to estimate the present value of future payments by using a discount rate, which represents the time value of money or the opportunity cost of capital. </t>
    </r>
  </si>
  <si>
    <r>
      <t xml:space="preserve">B. The discounted </t>
    </r>
    <r>
      <rPr>
        <b/>
        <sz val="11"/>
        <rFont val="Times New Roman"/>
        <family val="1"/>
      </rPr>
      <t>payback period</t>
    </r>
    <r>
      <rPr>
        <sz val="11"/>
        <rFont val="Times New Roman"/>
        <family val="1"/>
      </rPr>
      <t xml:space="preserve"> gives the number of years it would take to recoup an investment from discounted cash flows.</t>
    </r>
  </si>
  <si>
    <t>C. Total cost = Total cash cost + Management cost + Fixed capital investment. Excludes interest on operating capital and interest on fixed capital.</t>
  </si>
  <si>
    <t>D. Cash costs = Total variable cost + Miscellaneous supplies + Land &amp; property taxes + Insurance cost. Excludes interest on operating capital.</t>
  </si>
  <si>
    <r>
      <t>Total Cost</t>
    </r>
    <r>
      <rPr>
        <b/>
        <vertAlign val="superscript"/>
        <sz val="11"/>
        <color theme="1"/>
        <rFont val="Times New Roman"/>
        <family val="1"/>
      </rPr>
      <t>C</t>
    </r>
  </si>
  <si>
    <r>
      <t>Cash Costs</t>
    </r>
    <r>
      <rPr>
        <b/>
        <vertAlign val="superscript"/>
        <sz val="11"/>
        <color theme="1"/>
        <rFont val="Times New Roman"/>
        <family val="1"/>
      </rPr>
      <t>D</t>
    </r>
  </si>
  <si>
    <t>Management is valued at $300 per acre by a foreman or head supervisor is valued at $300 per acre (applied to the entire 100-acre farm). This value represents a fair return to producer’s management skills based on the interviewed producers.</t>
  </si>
  <si>
    <t>E. See Appendix 3 for a detailed calculation of the salvage value of machinery, equipment, and building.</t>
  </si>
  <si>
    <t xml:space="preserve">B. See Appendix 3 for the calculation of the depreciation cost of the machinery, equipment, and building. </t>
  </si>
  <si>
    <t xml:space="preserve">C. Price represents gross return before any expenses are subtracted. </t>
  </si>
  <si>
    <r>
      <t>Yield (bins/acre)</t>
    </r>
    <r>
      <rPr>
        <b/>
        <vertAlign val="superscript"/>
        <sz val="11"/>
        <rFont val="Times New Roman"/>
        <family val="1"/>
      </rPr>
      <t>B</t>
    </r>
    <r>
      <rPr>
        <b/>
        <sz val="11"/>
        <rFont val="Times New Roman"/>
        <family val="1"/>
      </rPr>
      <t xml:space="preserve"> </t>
    </r>
  </si>
  <si>
    <t>Gross return is $315 per 900 lb bin.</t>
  </si>
  <si>
    <r>
      <t>Machinery, Equipment, &amp; Building</t>
    </r>
    <r>
      <rPr>
        <vertAlign val="superscript"/>
        <sz val="11"/>
        <rFont val="Times New Roman"/>
        <family val="1"/>
      </rPr>
      <t>B</t>
    </r>
  </si>
  <si>
    <t>B. Total cost is the sum of total cash cost, management cost and fixed capital investment. Excludes interest on operating capital and interest on fixed capital.</t>
  </si>
  <si>
    <t>Table 2. Cost and Returns per Acre of Establishing and Producing Cider Apples on a 10-Acre Orchard Block</t>
  </si>
  <si>
    <t>The area of the total farm operation is 100 acres of mixed tree fruits. Bearing acres include 75 acres of apples (75% of total area), 16 acres of sweet cherries (16%), and 9 acres of pears (9%).</t>
  </si>
  <si>
    <t>The gross return is $315 per 900 lb bin or $0.35/lb.</t>
  </si>
  <si>
    <r>
      <t>Payback Period of Total Cash Cost</t>
    </r>
    <r>
      <rPr>
        <b/>
        <vertAlign val="superscript"/>
        <sz val="12"/>
        <color theme="1"/>
        <rFont val="Times New Roman"/>
        <family val="1"/>
      </rPr>
      <t>A</t>
    </r>
    <r>
      <rPr>
        <b/>
        <sz val="12"/>
        <color theme="1"/>
        <rFont val="Times New Roman"/>
        <family val="1"/>
      </rPr>
      <t xml:space="preserve"> (years)</t>
    </r>
  </si>
  <si>
    <r>
      <t>Payback Period of Total Cost</t>
    </r>
    <r>
      <rPr>
        <b/>
        <vertAlign val="superscript"/>
        <sz val="12"/>
        <color theme="1"/>
        <rFont val="Times New Roman"/>
        <family val="1"/>
      </rPr>
      <t>B</t>
    </r>
    <r>
      <rPr>
        <b/>
        <sz val="12"/>
        <color theme="1"/>
        <rFont val="Times New Roman"/>
        <family val="1"/>
      </rPr>
      <t xml:space="preserve"> (years)</t>
    </r>
  </si>
  <si>
    <t>Table 8. NPV and Payback Periods given Different Discount Rates</t>
  </si>
  <si>
    <t>Cider Apple Cultivar</t>
  </si>
  <si>
    <t>Several (e.g., Dabinett, Foxwhelp, Golden Russet, Harrison, Kingston Black, Porter's Perfection, Yarlington Mill, etc.)</t>
  </si>
  <si>
    <t>K. Represents the costs incurred during the establishment years (minus revenues during those years) that must be recaptured during the full production years. It is calculated as: accumulated establishment costs in Year 5 amortized at 5% for 25 years.</t>
  </si>
</sst>
</file>

<file path=xl/styles.xml><?xml version="1.0" encoding="utf-8"?>
<styleSheet xmlns="http://schemas.openxmlformats.org/spreadsheetml/2006/main">
  <numFmts count="8">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0.0%"/>
    <numFmt numFmtId="166" formatCode="#,##0.000"/>
    <numFmt numFmtId="167" formatCode="&quot;$&quot;#,##0.00"/>
    <numFmt numFmtId="168" formatCode="&quot;$&quot;#,##0"/>
  </numFmts>
  <fonts count="59">
    <font>
      <sz val="11"/>
      <color theme="1"/>
      <name val="Calibri"/>
      <family val="2"/>
      <scheme val="minor"/>
    </font>
    <font>
      <sz val="11"/>
      <color indexed="8"/>
      <name val="Calibri"/>
      <family val="2"/>
    </font>
    <font>
      <b/>
      <sz val="14"/>
      <color indexed="8"/>
      <name val="Times New Roman"/>
      <family val="1"/>
    </font>
    <font>
      <vertAlign val="superscript"/>
      <sz val="11"/>
      <color indexed="8"/>
      <name val="Times New Roman"/>
      <family val="1"/>
    </font>
    <font>
      <sz val="10"/>
      <color indexed="8"/>
      <name val="Times New Roman"/>
      <family val="1"/>
    </font>
    <font>
      <b/>
      <sz val="11"/>
      <color indexed="8"/>
      <name val="Times New Roman"/>
      <family val="1"/>
    </font>
    <font>
      <sz val="11"/>
      <color indexed="8"/>
      <name val="Times New Roman"/>
      <family val="1"/>
    </font>
    <font>
      <sz val="11"/>
      <name val="Times New Roman"/>
      <family val="1"/>
    </font>
    <font>
      <b/>
      <sz val="14"/>
      <name val="Times New Roman"/>
      <family val="1"/>
    </font>
    <font>
      <b/>
      <sz val="11"/>
      <name val="Times New Roman"/>
      <family val="1"/>
    </font>
    <font>
      <u/>
      <sz val="11"/>
      <name val="Times New Roman"/>
      <family val="1"/>
    </font>
    <font>
      <vertAlign val="superscript"/>
      <sz val="11"/>
      <name val="Times New Roman"/>
      <family val="1"/>
    </font>
    <font>
      <sz val="10"/>
      <name val="Times New Roman"/>
      <family val="1"/>
    </font>
    <font>
      <sz val="11"/>
      <color indexed="53"/>
      <name val="Times New Roman"/>
      <family val="1"/>
    </font>
    <font>
      <b/>
      <u/>
      <sz val="11"/>
      <name val="Times New Roman"/>
      <family val="1"/>
    </font>
    <font>
      <sz val="12"/>
      <color indexed="8"/>
      <name val="Times New Roman"/>
      <family val="1"/>
    </font>
    <font>
      <sz val="11"/>
      <color indexed="8"/>
      <name val="Times New Roman"/>
      <family val="1"/>
    </font>
    <font>
      <sz val="11"/>
      <color indexed="53"/>
      <name val="Times New Roman"/>
      <family val="1"/>
    </font>
    <font>
      <b/>
      <u/>
      <sz val="11"/>
      <color indexed="8"/>
      <name val="Times New Roman"/>
      <family val="1"/>
    </font>
    <font>
      <sz val="11"/>
      <color indexed="10"/>
      <name val="Times New Roman"/>
      <family val="1"/>
    </font>
    <font>
      <sz val="11"/>
      <color indexed="49"/>
      <name val="Times New Roman"/>
      <family val="1"/>
    </font>
    <font>
      <sz val="8"/>
      <name val="Calibri"/>
      <family val="2"/>
    </font>
    <font>
      <sz val="11"/>
      <color indexed="53"/>
      <name val="Times New Roman"/>
      <family val="1"/>
    </font>
    <font>
      <sz val="11"/>
      <name val="Calibri"/>
      <family val="2"/>
    </font>
    <font>
      <sz val="11"/>
      <color indexed="53"/>
      <name val="Times New Roman"/>
      <family val="1"/>
    </font>
    <font>
      <b/>
      <vertAlign val="superscript"/>
      <sz val="11"/>
      <name val="Times New Roman"/>
      <family val="1"/>
    </font>
    <font>
      <i/>
      <sz val="10"/>
      <name val="Times New Roman"/>
      <family val="1"/>
    </font>
    <font>
      <sz val="11"/>
      <color theme="1"/>
      <name val="Calibri"/>
      <family val="2"/>
      <scheme val="minor"/>
    </font>
    <font>
      <sz val="11"/>
      <color theme="1"/>
      <name val="Times New Roman"/>
      <family val="1"/>
    </font>
    <font>
      <sz val="11"/>
      <color rgb="FFFF0000"/>
      <name val="Times New Roman"/>
      <family val="1"/>
    </font>
    <font>
      <sz val="11"/>
      <color theme="9" tint="-0.249977111117893"/>
      <name val="Times New Roman"/>
      <family val="1"/>
    </font>
    <font>
      <sz val="11"/>
      <color theme="4"/>
      <name val="Times New Roman"/>
      <family val="1"/>
    </font>
    <font>
      <sz val="11"/>
      <color theme="5"/>
      <name val="Times New Roman"/>
      <family val="1"/>
    </font>
    <font>
      <sz val="10"/>
      <color theme="1"/>
      <name val="Times New Roman"/>
      <family val="1"/>
    </font>
    <font>
      <i/>
      <sz val="10"/>
      <color theme="9" tint="-0.249977111117893"/>
      <name val="Times New Roman"/>
      <family val="1"/>
    </font>
    <font>
      <sz val="11"/>
      <color theme="8" tint="-0.249977111117893"/>
      <name val="Times New Roman"/>
      <family val="1"/>
    </font>
    <font>
      <b/>
      <sz val="14"/>
      <color theme="1"/>
      <name val="Times New Roman"/>
      <family val="1"/>
    </font>
    <font>
      <sz val="11"/>
      <color theme="3"/>
      <name val="Times New Roman"/>
      <family val="1"/>
    </font>
    <font>
      <b/>
      <sz val="11"/>
      <color theme="9" tint="-0.249977111117893"/>
      <name val="Times New Roman"/>
      <family val="1"/>
    </font>
    <font>
      <sz val="8"/>
      <name val="Calibri"/>
      <family val="2"/>
      <scheme val="minor"/>
    </font>
    <font>
      <u/>
      <sz val="11"/>
      <color theme="10"/>
      <name val="Calibri"/>
      <family val="2"/>
      <scheme val="minor"/>
    </font>
    <font>
      <u/>
      <sz val="11"/>
      <color theme="11"/>
      <name val="Calibri"/>
      <family val="2"/>
      <scheme val="minor"/>
    </font>
    <font>
      <sz val="12"/>
      <color theme="1"/>
      <name val="Times New Roman"/>
      <family val="1"/>
    </font>
    <font>
      <u/>
      <vertAlign val="superscript"/>
      <sz val="11"/>
      <name val="Times New Roman"/>
      <family val="1"/>
    </font>
    <font>
      <vertAlign val="superscript"/>
      <sz val="10"/>
      <name val="Times New Roman"/>
      <family val="1"/>
    </font>
    <font>
      <sz val="11"/>
      <color rgb="FFC00000"/>
      <name val="Times New Roman"/>
      <family val="1"/>
    </font>
    <font>
      <b/>
      <sz val="12"/>
      <name val="Times New Roman"/>
      <family val="1"/>
    </font>
    <font>
      <sz val="10"/>
      <color indexed="53"/>
      <name val="Times New Roman"/>
      <family val="1"/>
    </font>
    <font>
      <vertAlign val="superscript"/>
      <sz val="11"/>
      <color theme="9" tint="-0.249977111117893"/>
      <name val="Times New Roman"/>
      <family val="1"/>
    </font>
    <font>
      <b/>
      <vertAlign val="superscript"/>
      <sz val="11"/>
      <color indexed="8"/>
      <name val="Times New Roman"/>
      <family val="1"/>
    </font>
    <font>
      <b/>
      <sz val="11"/>
      <color theme="1"/>
      <name val="Times New Roman"/>
      <family val="1"/>
    </font>
    <font>
      <sz val="10"/>
      <color theme="9" tint="-0.249977111117893"/>
      <name val="Times New Roman"/>
      <family val="1"/>
    </font>
    <font>
      <b/>
      <vertAlign val="superscript"/>
      <sz val="14"/>
      <name val="Times New Roman"/>
      <family val="1"/>
    </font>
    <font>
      <sz val="9"/>
      <color theme="1"/>
      <name val="Times New Roman"/>
      <family val="1"/>
    </font>
    <font>
      <sz val="12"/>
      <name val="Times New Roman"/>
      <family val="1"/>
    </font>
    <font>
      <b/>
      <vertAlign val="superscript"/>
      <sz val="11"/>
      <color theme="1"/>
      <name val="Times New Roman"/>
      <family val="1"/>
    </font>
    <font>
      <b/>
      <sz val="11"/>
      <color rgb="FFC00000"/>
      <name val="Times New Roman"/>
      <family val="1"/>
    </font>
    <font>
      <b/>
      <sz val="12"/>
      <color theme="1"/>
      <name val="Times New Roman"/>
      <family val="1"/>
    </font>
    <font>
      <b/>
      <vertAlign val="superscript"/>
      <sz val="12"/>
      <color theme="1"/>
      <name val="Times New Roman"/>
      <family val="1"/>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39">
    <border>
      <left/>
      <right/>
      <top/>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right/>
      <top/>
      <bottom style="double">
        <color auto="1"/>
      </bottom>
      <diagonal/>
    </border>
    <border>
      <left/>
      <right/>
      <top style="thin">
        <color auto="1"/>
      </top>
      <bottom style="thin">
        <color indexed="55"/>
      </bottom>
      <diagonal/>
    </border>
    <border>
      <left/>
      <right/>
      <top/>
      <bottom style="thin">
        <color indexed="55"/>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style="thin">
        <color auto="1"/>
      </top>
      <bottom/>
      <diagonal/>
    </border>
    <border>
      <left/>
      <right/>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style="thin">
        <color auto="1"/>
      </top>
      <bottom style="thin">
        <color auto="1"/>
      </bottom>
      <diagonal/>
    </border>
    <border>
      <left/>
      <right/>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indexed="64"/>
      </bottom>
      <diagonal/>
    </border>
    <border>
      <left/>
      <right/>
      <top style="thin">
        <color auto="1"/>
      </top>
      <bottom style="thin">
        <color indexed="64"/>
      </bottom>
      <diagonal/>
    </border>
    <border>
      <left/>
      <right/>
      <top/>
      <bottom style="thin">
        <color indexed="64"/>
      </bottom>
      <diagonal/>
    </border>
    <border>
      <left/>
      <right/>
      <top/>
      <bottom style="thin">
        <color indexed="64"/>
      </bottom>
      <diagonal/>
    </border>
    <border>
      <left/>
      <right/>
      <top/>
      <bottom style="thin">
        <color indexed="64"/>
      </bottom>
      <diagonal/>
    </border>
    <border>
      <left style="thin">
        <color auto="1"/>
      </left>
      <right/>
      <top/>
      <bottom style="thin">
        <color indexed="64"/>
      </bottom>
      <diagonal/>
    </border>
    <border>
      <left/>
      <right style="thin">
        <color auto="1"/>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20">
    <xf numFmtId="0" fontId="0" fillId="0" borderId="0"/>
    <xf numFmtId="44" fontId="1"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cellStyleXfs>
  <cellXfs count="463">
    <xf numFmtId="0" fontId="0" fillId="0" borderId="0" xfId="0"/>
    <xf numFmtId="0" fontId="7" fillId="2" borderId="0" xfId="0" applyFont="1" applyFill="1" applyBorder="1"/>
    <xf numFmtId="0" fontId="7" fillId="2" borderId="0" xfId="0" applyFont="1" applyFill="1" applyBorder="1" applyAlignment="1">
      <alignment horizontal="center"/>
    </xf>
    <xf numFmtId="0" fontId="7" fillId="2" borderId="0" xfId="0" applyFont="1" applyFill="1"/>
    <xf numFmtId="0" fontId="16" fillId="2" borderId="0" xfId="0" applyFont="1" applyFill="1"/>
    <xf numFmtId="0" fontId="7" fillId="2" borderId="1" xfId="0" applyFont="1" applyFill="1" applyBorder="1"/>
    <xf numFmtId="4" fontId="7" fillId="2" borderId="0" xfId="0" applyNumberFormat="1" applyFont="1" applyFill="1" applyAlignment="1">
      <alignment horizontal="right" vertical="center" indent="2"/>
    </xf>
    <xf numFmtId="4" fontId="7" fillId="2" borderId="0" xfId="0" applyNumberFormat="1" applyFont="1" applyFill="1" applyBorder="1" applyAlignment="1">
      <alignment horizontal="right" vertical="center" indent="2"/>
    </xf>
    <xf numFmtId="0" fontId="9" fillId="2" borderId="0" xfId="0" applyFont="1" applyFill="1" applyBorder="1"/>
    <xf numFmtId="0" fontId="9" fillId="2" borderId="0" xfId="0" applyFont="1" applyFill="1"/>
    <xf numFmtId="0" fontId="7" fillId="2" borderId="0" xfId="0" applyFont="1" applyFill="1" applyAlignment="1">
      <alignment horizontal="left" indent="1"/>
    </xf>
    <xf numFmtId="0" fontId="9" fillId="2" borderId="1" xfId="0" applyFont="1" applyFill="1" applyBorder="1"/>
    <xf numFmtId="0" fontId="12" fillId="2" borderId="0" xfId="0" applyFont="1" applyFill="1"/>
    <xf numFmtId="0" fontId="7" fillId="2" borderId="0" xfId="0" applyFont="1" applyFill="1" applyAlignment="1">
      <alignment horizontal="center"/>
    </xf>
    <xf numFmtId="0" fontId="7" fillId="2" borderId="2" xfId="0" applyFont="1" applyFill="1" applyBorder="1"/>
    <xf numFmtId="0" fontId="23" fillId="2" borderId="0" xfId="0" applyFont="1" applyFill="1"/>
    <xf numFmtId="43" fontId="7" fillId="2" borderId="0" xfId="0" applyNumberFormat="1" applyFont="1" applyFill="1"/>
    <xf numFmtId="0" fontId="9" fillId="2" borderId="0" xfId="0" applyFont="1" applyFill="1" applyAlignment="1">
      <alignment horizontal="left"/>
    </xf>
    <xf numFmtId="39" fontId="7" fillId="2" borderId="0" xfId="0" applyNumberFormat="1" applyFont="1" applyFill="1"/>
    <xf numFmtId="39" fontId="7" fillId="2" borderId="1" xfId="0" applyNumberFormat="1" applyFont="1" applyFill="1" applyBorder="1"/>
    <xf numFmtId="0" fontId="8" fillId="2" borderId="0" xfId="0" applyFont="1" applyFill="1" applyBorder="1" applyAlignment="1">
      <alignment wrapText="1"/>
    </xf>
    <xf numFmtId="0" fontId="9" fillId="2" borderId="0" xfId="0" applyFont="1" applyFill="1" applyBorder="1" applyAlignment="1">
      <alignment horizontal="center" wrapText="1"/>
    </xf>
    <xf numFmtId="0" fontId="0" fillId="2" borderId="0" xfId="0" applyFill="1"/>
    <xf numFmtId="0" fontId="5" fillId="2" borderId="3" xfId="0" applyFont="1" applyFill="1" applyBorder="1" applyAlignment="1">
      <alignment horizontal="left" wrapText="1"/>
    </xf>
    <xf numFmtId="0" fontId="5" fillId="2" borderId="3" xfId="0" applyFont="1" applyFill="1" applyBorder="1" applyAlignment="1">
      <alignment horizontal="center" wrapText="1"/>
    </xf>
    <xf numFmtId="3" fontId="16" fillId="2" borderId="0" xfId="0" applyNumberFormat="1" applyFont="1" applyFill="1" applyAlignment="1">
      <alignment horizontal="right" vertical="center" indent="3"/>
    </xf>
    <xf numFmtId="0" fontId="16" fillId="2" borderId="0" xfId="0" applyFont="1" applyFill="1" applyBorder="1"/>
    <xf numFmtId="0" fontId="2" fillId="2" borderId="0" xfId="0" applyFont="1" applyFill="1" applyBorder="1" applyAlignment="1">
      <alignment wrapText="1"/>
    </xf>
    <xf numFmtId="3" fontId="7" fillId="2" borderId="0" xfId="0" applyNumberFormat="1" applyFont="1" applyFill="1" applyAlignment="1">
      <alignment horizontal="right" vertical="center" indent="3"/>
    </xf>
    <xf numFmtId="4" fontId="16" fillId="2" borderId="0" xfId="0" applyNumberFormat="1" applyFont="1" applyFill="1" applyAlignment="1">
      <alignment horizontal="right" vertical="center" indent="4"/>
    </xf>
    <xf numFmtId="4" fontId="16" fillId="2" borderId="0" xfId="0" applyNumberFormat="1" applyFont="1" applyFill="1"/>
    <xf numFmtId="0" fontId="16" fillId="2" borderId="1" xfId="0" applyFont="1" applyFill="1" applyBorder="1"/>
    <xf numFmtId="164" fontId="16" fillId="2" borderId="0" xfId="0" applyNumberFormat="1" applyFont="1" applyFill="1"/>
    <xf numFmtId="44" fontId="16" fillId="2" borderId="0" xfId="0" applyNumberFormat="1" applyFont="1" applyFill="1"/>
    <xf numFmtId="4" fontId="16" fillId="2" borderId="0" xfId="0" applyNumberFormat="1" applyFont="1" applyFill="1" applyAlignment="1">
      <alignment horizontal="right" vertical="center" indent="3"/>
    </xf>
    <xf numFmtId="0" fontId="6" fillId="2" borderId="0" xfId="0" applyFont="1" applyFill="1"/>
    <xf numFmtId="0" fontId="4" fillId="2" borderId="0" xfId="0" applyFont="1" applyFill="1"/>
    <xf numFmtId="0" fontId="16" fillId="2" borderId="0" xfId="0" quotePrefix="1" applyFont="1" applyFill="1"/>
    <xf numFmtId="4" fontId="16" fillId="2" borderId="0" xfId="0" applyNumberFormat="1" applyFont="1" applyFill="1" applyBorder="1" applyAlignment="1">
      <alignment horizontal="right" indent="1"/>
    </xf>
    <xf numFmtId="0" fontId="20" fillId="2" borderId="0" xfId="0" applyFont="1" applyFill="1" applyAlignment="1">
      <alignment horizontal="right"/>
    </xf>
    <xf numFmtId="0" fontId="20" fillId="2" borderId="0" xfId="0" applyFont="1" applyFill="1"/>
    <xf numFmtId="0" fontId="19" fillId="2" borderId="0" xfId="0" applyFont="1" applyFill="1"/>
    <xf numFmtId="4" fontId="6" fillId="0" borderId="0" xfId="0" applyNumberFormat="1" applyFont="1" applyFill="1"/>
    <xf numFmtId="0" fontId="24" fillId="2" borderId="0" xfId="0" applyFont="1" applyFill="1"/>
    <xf numFmtId="3" fontId="7" fillId="2" borderId="0" xfId="0" applyNumberFormat="1" applyFont="1" applyFill="1" applyAlignment="1">
      <alignment horizontal="right" vertical="center" indent="5"/>
    </xf>
    <xf numFmtId="0" fontId="15" fillId="3" borderId="0" xfId="0" applyFont="1" applyFill="1" applyAlignment="1">
      <alignment horizontal="center"/>
    </xf>
    <xf numFmtId="0" fontId="15" fillId="3" borderId="0" xfId="0" applyFont="1" applyFill="1"/>
    <xf numFmtId="0" fontId="16" fillId="3" borderId="0" xfId="0" applyFont="1" applyFill="1" applyAlignment="1">
      <alignment horizontal="center"/>
    </xf>
    <xf numFmtId="0" fontId="7" fillId="3" borderId="0" xfId="0" applyFont="1" applyFill="1" applyBorder="1"/>
    <xf numFmtId="0" fontId="7" fillId="3" borderId="0" xfId="0" applyFont="1" applyFill="1"/>
    <xf numFmtId="0" fontId="16" fillId="3" borderId="0" xfId="0" applyFont="1" applyFill="1"/>
    <xf numFmtId="0" fontId="7" fillId="3" borderId="1" xfId="0" applyFont="1" applyFill="1" applyBorder="1"/>
    <xf numFmtId="0" fontId="7" fillId="3" borderId="1" xfId="0" applyFont="1" applyFill="1" applyBorder="1" applyAlignment="1">
      <alignment horizontal="center"/>
    </xf>
    <xf numFmtId="43" fontId="7" fillId="3" borderId="0" xfId="0" applyNumberFormat="1" applyFont="1" applyFill="1" applyAlignment="1">
      <alignment horizontal="right"/>
    </xf>
    <xf numFmtId="4" fontId="7" fillId="3" borderId="0" xfId="0" applyNumberFormat="1" applyFont="1" applyFill="1" applyAlignment="1">
      <alignment horizontal="right" vertical="center" indent="2"/>
    </xf>
    <xf numFmtId="4" fontId="7" fillId="3" borderId="0" xfId="0" applyNumberFormat="1" applyFont="1" applyFill="1" applyBorder="1" applyAlignment="1">
      <alignment horizontal="right" vertical="center" indent="2"/>
    </xf>
    <xf numFmtId="0" fontId="9" fillId="3" borderId="0" xfId="0" applyFont="1" applyFill="1" applyBorder="1"/>
    <xf numFmtId="43" fontId="7" fillId="3" borderId="1" xfId="0" applyNumberFormat="1" applyFont="1" applyFill="1" applyBorder="1" applyAlignment="1">
      <alignment horizontal="right"/>
    </xf>
    <xf numFmtId="4" fontId="7" fillId="3" borderId="1" xfId="0" applyNumberFormat="1" applyFont="1" applyFill="1" applyBorder="1" applyAlignment="1">
      <alignment horizontal="right" vertical="center" indent="2"/>
    </xf>
    <xf numFmtId="43" fontId="7" fillId="3" borderId="0" xfId="0" applyNumberFormat="1" applyFont="1" applyFill="1" applyBorder="1" applyAlignment="1">
      <alignment horizontal="right"/>
    </xf>
    <xf numFmtId="0" fontId="9" fillId="3" borderId="0" xfId="0" applyFont="1" applyFill="1"/>
    <xf numFmtId="0" fontId="10" fillId="3" borderId="0" xfId="0" applyFont="1" applyFill="1" applyAlignment="1">
      <alignment horizontal="left"/>
    </xf>
    <xf numFmtId="0" fontId="7" fillId="3" borderId="0" xfId="0" applyFont="1" applyFill="1" applyAlignment="1">
      <alignment horizontal="left" indent="1"/>
    </xf>
    <xf numFmtId="4" fontId="7" fillId="3" borderId="0" xfId="0" applyNumberFormat="1" applyFont="1" applyFill="1" applyAlignment="1">
      <alignment horizontal="right" indent="2"/>
    </xf>
    <xf numFmtId="4" fontId="7" fillId="3" borderId="0" xfId="0" applyNumberFormat="1" applyFont="1" applyFill="1" applyBorder="1" applyAlignment="1">
      <alignment horizontal="right" vertical="center" indent="3"/>
    </xf>
    <xf numFmtId="0" fontId="10" fillId="3" borderId="0" xfId="0" applyFont="1" applyFill="1"/>
    <xf numFmtId="0" fontId="7" fillId="3" borderId="0" xfId="0" applyFont="1" applyFill="1" applyAlignment="1">
      <alignment horizontal="right" indent="1"/>
    </xf>
    <xf numFmtId="0" fontId="9" fillId="3" borderId="1" xfId="0" applyFont="1" applyFill="1" applyBorder="1"/>
    <xf numFmtId="4" fontId="7" fillId="3" borderId="1" xfId="0" applyNumberFormat="1" applyFont="1" applyFill="1" applyBorder="1" applyAlignment="1">
      <alignment horizontal="right" indent="1"/>
    </xf>
    <xf numFmtId="0" fontId="12" fillId="3" borderId="0" xfId="0" applyFont="1" applyFill="1"/>
    <xf numFmtId="0" fontId="7" fillId="3" borderId="0" xfId="0" applyFont="1" applyFill="1" applyProtection="1">
      <protection locked="0"/>
    </xf>
    <xf numFmtId="43" fontId="7" fillId="3" borderId="0" xfId="0" applyNumberFormat="1" applyFont="1" applyFill="1" applyAlignment="1" applyProtection="1">
      <alignment horizontal="right"/>
      <protection locked="0"/>
    </xf>
    <xf numFmtId="4" fontId="7" fillId="3" borderId="0" xfId="0" applyNumberFormat="1" applyFont="1" applyFill="1" applyAlignment="1" applyProtection="1">
      <alignment horizontal="right" vertical="center" indent="2"/>
      <protection locked="0"/>
    </xf>
    <xf numFmtId="0" fontId="7" fillId="2" borderId="0" xfId="0" quotePrefix="1" applyFont="1" applyFill="1" applyBorder="1" applyAlignment="1">
      <alignment horizontal="right" indent="1"/>
    </xf>
    <xf numFmtId="0" fontId="5" fillId="2" borderId="0" xfId="0" applyFont="1" applyFill="1"/>
    <xf numFmtId="0" fontId="28" fillId="3" borderId="0" xfId="0" applyFont="1" applyFill="1" applyBorder="1" applyAlignment="1">
      <alignment horizontal="left"/>
    </xf>
    <xf numFmtId="0" fontId="28" fillId="3" borderId="0" xfId="0" applyFont="1" applyFill="1" applyAlignment="1">
      <alignment horizontal="left" indent="1"/>
    </xf>
    <xf numFmtId="4" fontId="29" fillId="3" borderId="0" xfId="0" applyNumberFormat="1" applyFont="1" applyFill="1" applyAlignment="1" applyProtection="1">
      <alignment horizontal="right" vertical="center" indent="2"/>
      <protection locked="0"/>
    </xf>
    <xf numFmtId="0" fontId="29" fillId="2" borderId="0" xfId="0" applyFont="1" applyFill="1"/>
    <xf numFmtId="4" fontId="6" fillId="2" borderId="0" xfId="0" applyNumberFormat="1" applyFont="1" applyFill="1"/>
    <xf numFmtId="4" fontId="30" fillId="3" borderId="0" xfId="0" applyNumberFormat="1" applyFont="1" applyFill="1" applyAlignment="1" applyProtection="1">
      <alignment horizontal="right" vertical="center" indent="2"/>
      <protection locked="0"/>
    </xf>
    <xf numFmtId="4" fontId="31" fillId="3" borderId="0" xfId="0" quotePrefix="1" applyNumberFormat="1" applyFont="1" applyFill="1"/>
    <xf numFmtId="4" fontId="30" fillId="3" borderId="0" xfId="0" applyNumberFormat="1" applyFont="1" applyFill="1" applyBorder="1" applyAlignment="1" applyProtection="1">
      <alignment horizontal="right" vertical="center" indent="2"/>
      <protection locked="0"/>
    </xf>
    <xf numFmtId="0" fontId="6" fillId="3" borderId="0" xfId="0" quotePrefix="1" applyFont="1" applyFill="1"/>
    <xf numFmtId="0" fontId="6" fillId="3" borderId="0" xfId="0" applyFont="1" applyFill="1"/>
    <xf numFmtId="0" fontId="32" fillId="3" borderId="0" xfId="0" applyFont="1" applyFill="1"/>
    <xf numFmtId="0" fontId="32" fillId="3" borderId="0" xfId="0" quotePrefix="1" applyFont="1" applyFill="1"/>
    <xf numFmtId="0" fontId="5" fillId="3" borderId="3" xfId="0" applyFont="1" applyFill="1" applyBorder="1" applyAlignment="1">
      <alignment horizontal="left" wrapText="1"/>
    </xf>
    <xf numFmtId="0" fontId="18" fillId="3" borderId="0" xfId="0" applyFont="1" applyFill="1"/>
    <xf numFmtId="0" fontId="16" fillId="3" borderId="0" xfId="0" applyFont="1" applyFill="1" applyAlignment="1">
      <alignment horizontal="left" indent="1"/>
    </xf>
    <xf numFmtId="0" fontId="6" fillId="3" borderId="0" xfId="0" applyFont="1" applyFill="1" applyAlignment="1">
      <alignment horizontal="left" indent="1"/>
    </xf>
    <xf numFmtId="0" fontId="6" fillId="3" borderId="0" xfId="0" applyFont="1" applyFill="1" applyAlignment="1">
      <alignment horizontal="left"/>
    </xf>
    <xf numFmtId="0" fontId="7" fillId="3" borderId="0" xfId="0" applyFont="1" applyFill="1" applyBorder="1" applyAlignment="1">
      <alignment horizontal="left"/>
    </xf>
    <xf numFmtId="0" fontId="7" fillId="3" borderId="0" xfId="0" applyFont="1" applyFill="1" applyAlignment="1">
      <alignment horizontal="left"/>
    </xf>
    <xf numFmtId="0" fontId="16" fillId="3" borderId="0" xfId="0" applyFont="1" applyFill="1" applyBorder="1" applyAlignment="1">
      <alignment horizontal="left" indent="1"/>
    </xf>
    <xf numFmtId="0" fontId="28" fillId="3" borderId="0" xfId="0" applyFont="1" applyFill="1" applyBorder="1" applyAlignment="1">
      <alignment horizontal="left" indent="1"/>
    </xf>
    <xf numFmtId="0" fontId="9" fillId="3" borderId="0" xfId="0" applyFont="1" applyFill="1" applyAlignment="1">
      <alignment horizontal="left" indent="1"/>
    </xf>
    <xf numFmtId="0" fontId="14" fillId="3" borderId="0" xfId="0" applyFont="1" applyFill="1"/>
    <xf numFmtId="39" fontId="7" fillId="3" borderId="1" xfId="0" applyNumberFormat="1" applyFont="1" applyFill="1" applyBorder="1" applyAlignment="1">
      <alignment horizontal="right" vertical="center" indent="2"/>
    </xf>
    <xf numFmtId="39" fontId="7" fillId="3" borderId="4" xfId="0" applyNumberFormat="1" applyFont="1" applyFill="1" applyBorder="1" applyAlignment="1">
      <alignment horizontal="right" vertical="center" indent="2"/>
    </xf>
    <xf numFmtId="0" fontId="28" fillId="3" borderId="0" xfId="0" applyFont="1" applyFill="1" applyBorder="1" applyAlignment="1"/>
    <xf numFmtId="0" fontId="32" fillId="3" borderId="0" xfId="0" applyFont="1" applyFill="1" applyBorder="1"/>
    <xf numFmtId="0" fontId="6" fillId="2" borderId="0" xfId="0" applyFont="1" applyFill="1" applyBorder="1" applyAlignment="1">
      <alignment horizontal="left" indent="1"/>
    </xf>
    <xf numFmtId="0" fontId="7" fillId="2" borderId="0" xfId="0" applyFont="1" applyFill="1" applyAlignment="1">
      <alignment vertical="top" wrapText="1"/>
    </xf>
    <xf numFmtId="0" fontId="16" fillId="3" borderId="0" xfId="0" applyFont="1" applyFill="1" applyBorder="1"/>
    <xf numFmtId="0" fontId="28" fillId="3" borderId="0" xfId="0" applyFont="1" applyFill="1"/>
    <xf numFmtId="0" fontId="33" fillId="3" borderId="0" xfId="0" applyFont="1" applyFill="1"/>
    <xf numFmtId="4" fontId="30" fillId="3" borderId="1" xfId="0" applyNumberFormat="1" applyFont="1" applyFill="1" applyBorder="1" applyAlignment="1" applyProtection="1">
      <alignment horizontal="right" vertical="center" indent="2"/>
      <protection locked="0"/>
    </xf>
    <xf numFmtId="39" fontId="7" fillId="3" borderId="0" xfId="0" applyNumberFormat="1" applyFont="1" applyFill="1" applyBorder="1" applyAlignment="1">
      <alignment horizontal="right" vertical="center" indent="2"/>
    </xf>
    <xf numFmtId="4" fontId="7" fillId="3" borderId="0" xfId="0" applyNumberFormat="1" applyFont="1" applyFill="1" applyBorder="1" applyAlignment="1">
      <alignment horizontal="right" indent="1"/>
    </xf>
    <xf numFmtId="4" fontId="7" fillId="3" borderId="0" xfId="0" applyNumberFormat="1" applyFont="1" applyFill="1" applyBorder="1" applyAlignment="1" applyProtection="1">
      <alignment horizontal="right" indent="1"/>
      <protection locked="0"/>
    </xf>
    <xf numFmtId="0" fontId="6" fillId="2" borderId="0" xfId="0" applyFont="1" applyFill="1" applyBorder="1"/>
    <xf numFmtId="0" fontId="23" fillId="2" borderId="0" xfId="0" quotePrefix="1" applyFont="1" applyFill="1"/>
    <xf numFmtId="0" fontId="5" fillId="3" borderId="3" xfId="0" applyFont="1" applyFill="1" applyBorder="1" applyAlignment="1">
      <alignment horizontal="center" wrapText="1"/>
    </xf>
    <xf numFmtId="0" fontId="5" fillId="3" borderId="1" xfId="0" applyFont="1" applyFill="1" applyBorder="1" applyAlignment="1">
      <alignment horizontal="center" wrapText="1"/>
    </xf>
    <xf numFmtId="4" fontId="16" fillId="3" borderId="0" xfId="0" applyNumberFormat="1" applyFont="1" applyFill="1" applyAlignment="1">
      <alignment horizontal="right" vertical="center" indent="2"/>
    </xf>
    <xf numFmtId="3" fontId="7" fillId="3" borderId="0" xfId="0" applyNumberFormat="1" applyFont="1" applyFill="1" applyAlignment="1">
      <alignment horizontal="right" vertical="center" indent="4"/>
    </xf>
    <xf numFmtId="0" fontId="35" fillId="3" borderId="0" xfId="0" quotePrefix="1" applyFont="1" applyFill="1"/>
    <xf numFmtId="0" fontId="29" fillId="3" borderId="0" xfId="0" applyFont="1" applyFill="1"/>
    <xf numFmtId="0" fontId="35" fillId="3" borderId="0" xfId="0" applyFont="1" applyFill="1"/>
    <xf numFmtId="4" fontId="16" fillId="3" borderId="0" xfId="0" applyNumberFormat="1" applyFont="1" applyFill="1"/>
    <xf numFmtId="3" fontId="29" fillId="3" borderId="0" xfId="0" applyNumberFormat="1" applyFont="1" applyFill="1" applyAlignment="1" applyProtection="1">
      <alignment horizontal="right" vertical="center" indent="4"/>
      <protection locked="0"/>
    </xf>
    <xf numFmtId="4" fontId="30" fillId="3" borderId="0" xfId="0" applyNumberFormat="1" applyFont="1" applyFill="1" applyAlignment="1">
      <alignment horizontal="right" vertical="center" indent="2"/>
    </xf>
    <xf numFmtId="0" fontId="24" fillId="3" borderId="0" xfId="0" applyFont="1" applyFill="1"/>
    <xf numFmtId="4" fontId="29" fillId="3" borderId="0" xfId="0" applyNumberFormat="1" applyFont="1" applyFill="1" applyAlignment="1">
      <alignment horizontal="right" vertical="center" indent="2"/>
    </xf>
    <xf numFmtId="4" fontId="17" fillId="3" borderId="0" xfId="0" applyNumberFormat="1" applyFont="1" applyFill="1" applyAlignment="1">
      <alignment horizontal="right" vertical="center" indent="2"/>
    </xf>
    <xf numFmtId="3" fontId="30" fillId="3" borderId="0" xfId="0" applyNumberFormat="1" applyFont="1" applyFill="1" applyAlignment="1" applyProtection="1">
      <alignment horizontal="right" vertical="center" indent="4"/>
      <protection locked="0"/>
    </xf>
    <xf numFmtId="164" fontId="16" fillId="3" borderId="0" xfId="0" applyNumberFormat="1" applyFont="1" applyFill="1"/>
    <xf numFmtId="0" fontId="31" fillId="3" borderId="0" xfId="0" quotePrefix="1" applyFont="1" applyFill="1"/>
    <xf numFmtId="4" fontId="22" fillId="3" borderId="0" xfId="0" applyNumberFormat="1" applyFont="1" applyFill="1" applyAlignment="1">
      <alignment horizontal="right" vertical="center" indent="2"/>
    </xf>
    <xf numFmtId="4" fontId="16" fillId="3" borderId="0" xfId="0" applyNumberFormat="1" applyFont="1" applyFill="1" applyBorder="1" applyAlignment="1">
      <alignment horizontal="right" vertical="center" indent="2"/>
    </xf>
    <xf numFmtId="3" fontId="16" fillId="3" borderId="0" xfId="0" applyNumberFormat="1" applyFont="1" applyFill="1" applyBorder="1" applyAlignment="1">
      <alignment horizontal="right" vertical="center" indent="4"/>
    </xf>
    <xf numFmtId="3" fontId="16" fillId="3" borderId="0" xfId="0" applyNumberFormat="1" applyFont="1" applyFill="1" applyAlignment="1">
      <alignment horizontal="right" vertical="center" indent="4"/>
    </xf>
    <xf numFmtId="0" fontId="31" fillId="3" borderId="0" xfId="0" applyFont="1" applyFill="1"/>
    <xf numFmtId="4" fontId="19" fillId="3" borderId="0" xfId="0" applyNumberFormat="1" applyFont="1" applyFill="1" applyAlignment="1">
      <alignment horizontal="right" vertical="center" indent="2"/>
    </xf>
    <xf numFmtId="3" fontId="19" fillId="3" borderId="0" xfId="0" applyNumberFormat="1" applyFont="1" applyFill="1" applyAlignment="1">
      <alignment horizontal="right" vertical="center" indent="4"/>
    </xf>
    <xf numFmtId="4" fontId="17" fillId="3" borderId="0" xfId="0" applyNumberFormat="1" applyFont="1" applyFill="1" applyBorder="1" applyAlignment="1">
      <alignment horizontal="right" vertical="center" indent="2"/>
    </xf>
    <xf numFmtId="4" fontId="16" fillId="3" borderId="0" xfId="0" applyNumberFormat="1" applyFont="1" applyFill="1" applyAlignment="1">
      <alignment horizontal="center" vertical="center"/>
    </xf>
    <xf numFmtId="3" fontId="17" fillId="3" borderId="0" xfId="0" applyNumberFormat="1" applyFont="1" applyFill="1" applyAlignment="1">
      <alignment horizontal="center" vertical="center"/>
    </xf>
    <xf numFmtId="3" fontId="17" fillId="3" borderId="0" xfId="0" applyNumberFormat="1" applyFont="1" applyFill="1" applyAlignment="1">
      <alignment vertical="center"/>
    </xf>
    <xf numFmtId="4" fontId="24" fillId="3" borderId="0" xfId="0" applyNumberFormat="1" applyFont="1" applyFill="1" applyAlignment="1">
      <alignment horizontal="right" vertical="center" indent="2"/>
    </xf>
    <xf numFmtId="4" fontId="31" fillId="3" borderId="0" xfId="0" quotePrefix="1" applyNumberFormat="1" applyFont="1" applyFill="1" applyAlignment="1">
      <alignment horizontal="left" vertical="center" indent="2"/>
    </xf>
    <xf numFmtId="3" fontId="17" fillId="3" borderId="0" xfId="0" applyNumberFormat="1" applyFont="1" applyFill="1" applyAlignment="1">
      <alignment horizontal="right" vertical="center" indent="4"/>
    </xf>
    <xf numFmtId="3" fontId="7" fillId="3" borderId="0" xfId="0" applyNumberFormat="1" applyFont="1" applyFill="1" applyAlignment="1">
      <alignment horizontal="center" vertical="center"/>
    </xf>
    <xf numFmtId="166" fontId="29" fillId="3" borderId="0" xfId="0" applyNumberFormat="1" applyFont="1" applyFill="1" applyAlignment="1" applyProtection="1">
      <alignment horizontal="right" vertical="center" indent="2"/>
      <protection locked="0"/>
    </xf>
    <xf numFmtId="3" fontId="30" fillId="3" borderId="0" xfId="0" applyNumberFormat="1" applyFont="1" applyFill="1" applyBorder="1" applyAlignment="1" applyProtection="1">
      <alignment horizontal="right" vertical="center" indent="4"/>
      <protection locked="0"/>
    </xf>
    <xf numFmtId="4" fontId="30" fillId="3" borderId="0" xfId="0" applyNumberFormat="1" applyFont="1" applyFill="1" applyAlignment="1" applyProtection="1">
      <alignment horizontal="center" vertical="center"/>
      <protection locked="0"/>
    </xf>
    <xf numFmtId="3" fontId="7" fillId="3" borderId="0" xfId="0" applyNumberFormat="1" applyFont="1" applyFill="1" applyAlignment="1" applyProtection="1">
      <alignment horizontal="center" vertical="center"/>
      <protection locked="0"/>
    </xf>
    <xf numFmtId="3" fontId="16" fillId="3" borderId="0" xfId="0" applyNumberFormat="1" applyFont="1" applyFill="1" applyAlignment="1">
      <alignment horizontal="center" vertical="center"/>
    </xf>
    <xf numFmtId="164" fontId="6" fillId="3" borderId="0" xfId="1" applyNumberFormat="1" applyFont="1" applyFill="1"/>
    <xf numFmtId="0" fontId="29" fillId="3" borderId="0" xfId="0" applyFont="1" applyFill="1" applyProtection="1">
      <protection locked="0"/>
    </xf>
    <xf numFmtId="3" fontId="16" fillId="3" borderId="0" xfId="0" applyNumberFormat="1" applyFont="1" applyFill="1"/>
    <xf numFmtId="167" fontId="7" fillId="2" borderId="0" xfId="0" applyNumberFormat="1" applyFont="1" applyFill="1" applyBorder="1" applyAlignment="1">
      <alignment horizontal="right" indent="1"/>
    </xf>
    <xf numFmtId="167" fontId="16" fillId="2" borderId="1" xfId="0" applyNumberFormat="1" applyFont="1" applyFill="1" applyBorder="1" applyAlignment="1">
      <alignment horizontal="right" indent="1"/>
    </xf>
    <xf numFmtId="0" fontId="37" fillId="3" borderId="0" xfId="0" applyFont="1" applyFill="1"/>
    <xf numFmtId="4" fontId="37" fillId="3" borderId="0" xfId="0" quotePrefix="1" applyNumberFormat="1" applyFont="1" applyFill="1"/>
    <xf numFmtId="4" fontId="6" fillId="3" borderId="0" xfId="0" applyNumberFormat="1" applyFont="1" applyFill="1"/>
    <xf numFmtId="4" fontId="37" fillId="3" borderId="0" xfId="0" applyNumberFormat="1" applyFont="1" applyFill="1" applyAlignment="1">
      <alignment horizontal="right" vertical="center" indent="2"/>
    </xf>
    <xf numFmtId="0" fontId="37" fillId="3" borderId="0" xfId="0" quotePrefix="1" applyFont="1" applyFill="1"/>
    <xf numFmtId="0" fontId="7" fillId="0" borderId="2" xfId="0" applyFont="1" applyFill="1" applyBorder="1"/>
    <xf numFmtId="0" fontId="7" fillId="0" borderId="0" xfId="0" applyFont="1" applyFill="1" applyAlignment="1">
      <alignment horizontal="left"/>
    </xf>
    <xf numFmtId="0" fontId="7" fillId="0" borderId="0" xfId="0" applyFont="1" applyFill="1" applyBorder="1" applyAlignment="1">
      <alignment horizontal="left"/>
    </xf>
    <xf numFmtId="0" fontId="7" fillId="0" borderId="0" xfId="0" applyFont="1" applyFill="1"/>
    <xf numFmtId="0" fontId="16" fillId="0" borderId="0" xfId="0" applyFont="1" applyFill="1"/>
    <xf numFmtId="0" fontId="7" fillId="2" borderId="0" xfId="0" applyFont="1" applyFill="1" applyBorder="1" applyAlignment="1">
      <alignment horizontal="left"/>
    </xf>
    <xf numFmtId="3" fontId="7" fillId="2" borderId="0" xfId="0" applyNumberFormat="1" applyFont="1" applyFill="1" applyBorder="1" applyAlignment="1">
      <alignment horizontal="right" vertical="center" indent="3"/>
    </xf>
    <xf numFmtId="3" fontId="7" fillId="2" borderId="4" xfId="0" applyNumberFormat="1" applyFont="1" applyFill="1" applyBorder="1" applyAlignment="1">
      <alignment horizontal="right" vertical="center" indent="3"/>
    </xf>
    <xf numFmtId="3" fontId="30" fillId="2" borderId="0" xfId="0" applyNumberFormat="1" applyFont="1" applyFill="1" applyAlignment="1" applyProtection="1">
      <alignment horizontal="right" vertical="center" indent="3"/>
      <protection locked="0"/>
    </xf>
    <xf numFmtId="3" fontId="30" fillId="2" borderId="0" xfId="0" applyNumberFormat="1" applyFont="1" applyFill="1" applyAlignment="1" applyProtection="1">
      <alignment horizontal="center" vertical="center"/>
      <protection locked="0"/>
    </xf>
    <xf numFmtId="3" fontId="30" fillId="2" borderId="0" xfId="0" applyNumberFormat="1" applyFont="1" applyFill="1" applyBorder="1" applyAlignment="1" applyProtection="1">
      <alignment horizontal="right" vertical="center" indent="3"/>
      <protection locked="0"/>
    </xf>
    <xf numFmtId="3" fontId="30" fillId="2" borderId="0" xfId="0" applyNumberFormat="1" applyFont="1" applyFill="1" applyBorder="1" applyAlignment="1" applyProtection="1">
      <alignment horizontal="center" vertical="center"/>
      <protection locked="0"/>
    </xf>
    <xf numFmtId="3" fontId="30" fillId="2" borderId="0" xfId="0" applyNumberFormat="1" applyFont="1" applyFill="1" applyAlignment="1" applyProtection="1">
      <alignment horizontal="right" vertical="center" indent="4"/>
      <protection locked="0"/>
    </xf>
    <xf numFmtId="0" fontId="7" fillId="0" borderId="8" xfId="0" applyFont="1" applyFill="1" applyBorder="1"/>
    <xf numFmtId="167" fontId="7" fillId="0" borderId="0" xfId="0" applyNumberFormat="1" applyFont="1" applyFill="1" applyBorder="1"/>
    <xf numFmtId="4" fontId="30" fillId="2" borderId="0" xfId="0" applyNumberFormat="1" applyFont="1" applyFill="1" applyBorder="1" applyAlignment="1" applyProtection="1">
      <alignment horizontal="right" indent="1"/>
      <protection locked="0"/>
    </xf>
    <xf numFmtId="37" fontId="30" fillId="3" borderId="0" xfId="0" applyNumberFormat="1" applyFont="1" applyFill="1" applyProtection="1">
      <protection locked="0"/>
    </xf>
    <xf numFmtId="3" fontId="30" fillId="3" borderId="0" xfId="0" applyNumberFormat="1" applyFont="1" applyFill="1" applyAlignment="1" applyProtection="1">
      <alignment horizontal="right"/>
      <protection locked="0"/>
    </xf>
    <xf numFmtId="0" fontId="30" fillId="3" borderId="0" xfId="0" applyFont="1" applyFill="1" applyProtection="1">
      <protection locked="0"/>
    </xf>
    <xf numFmtId="0" fontId="28" fillId="3" borderId="0" xfId="0" applyFont="1" applyFill="1" applyBorder="1"/>
    <xf numFmtId="0" fontId="42" fillId="3" borderId="0" xfId="0" applyFont="1" applyFill="1"/>
    <xf numFmtId="0" fontId="7" fillId="2" borderId="0" xfId="0" quotePrefix="1" applyFont="1" applyFill="1" applyBorder="1" applyAlignment="1">
      <alignment horizontal="right" vertical="top" wrapText="1" indent="1"/>
    </xf>
    <xf numFmtId="0" fontId="9" fillId="2" borderId="1" xfId="0" applyFont="1" applyFill="1" applyBorder="1" applyAlignment="1">
      <alignment horizontal="center"/>
    </xf>
    <xf numFmtId="3" fontId="30" fillId="3" borderId="0" xfId="0" applyNumberFormat="1" applyFont="1" applyFill="1" applyAlignment="1" applyProtection="1">
      <alignment horizontal="center" vertical="center"/>
      <protection locked="0"/>
    </xf>
    <xf numFmtId="3" fontId="7" fillId="2" borderId="13" xfId="0" applyNumberFormat="1" applyFont="1" applyFill="1" applyBorder="1" applyAlignment="1">
      <alignment horizontal="right" vertical="center" indent="3"/>
    </xf>
    <xf numFmtId="3" fontId="7" fillId="2" borderId="13" xfId="0" applyNumberFormat="1" applyFont="1" applyFill="1" applyBorder="1" applyAlignment="1">
      <alignment horizontal="right" vertical="center" indent="5"/>
    </xf>
    <xf numFmtId="3" fontId="16" fillId="2" borderId="13" xfId="0" applyNumberFormat="1" applyFont="1" applyFill="1" applyBorder="1" applyAlignment="1">
      <alignment horizontal="right" vertical="center" indent="3"/>
    </xf>
    <xf numFmtId="4" fontId="16" fillId="2" borderId="13" xfId="0" applyNumberFormat="1" applyFont="1" applyFill="1" applyBorder="1" applyAlignment="1">
      <alignment horizontal="right" vertical="center" indent="4"/>
    </xf>
    <xf numFmtId="3" fontId="7" fillId="2" borderId="0" xfId="0" applyNumberFormat="1" applyFont="1" applyFill="1" applyBorder="1" applyAlignment="1">
      <alignment horizontal="right" vertical="center" indent="5"/>
    </xf>
    <xf numFmtId="0" fontId="16" fillId="2" borderId="0" xfId="0" applyFont="1" applyFill="1" applyAlignment="1">
      <alignment horizontal="right" vertical="center" indent="3"/>
    </xf>
    <xf numFmtId="0" fontId="16" fillId="2" borderId="0" xfId="0" applyFont="1" applyFill="1" applyBorder="1" applyAlignment="1">
      <alignment horizontal="right" vertical="center" indent="3"/>
    </xf>
    <xf numFmtId="167" fontId="30" fillId="0" borderId="0" xfId="0" applyNumberFormat="1" applyFont="1" applyFill="1" applyAlignment="1">
      <alignment horizontal="right"/>
    </xf>
    <xf numFmtId="0" fontId="6" fillId="3" borderId="0" xfId="0" applyFont="1" applyFill="1" applyAlignment="1">
      <alignment horizontal="center"/>
    </xf>
    <xf numFmtId="0" fontId="12" fillId="2" borderId="0" xfId="0" applyFont="1" applyFill="1" applyBorder="1"/>
    <xf numFmtId="167" fontId="7" fillId="0" borderId="0" xfId="0" applyNumberFormat="1" applyFont="1" applyFill="1" applyBorder="1" applyAlignment="1">
      <alignment vertical="top"/>
    </xf>
    <xf numFmtId="0" fontId="7" fillId="0" borderId="0" xfId="0" applyFont="1" applyFill="1" applyBorder="1" applyAlignment="1">
      <alignment vertical="top"/>
    </xf>
    <xf numFmtId="0" fontId="45" fillId="3" borderId="0" xfId="0" applyFont="1" applyFill="1"/>
    <xf numFmtId="0" fontId="45" fillId="3" borderId="0" xfId="0" applyFont="1" applyFill="1" applyBorder="1"/>
    <xf numFmtId="0" fontId="45" fillId="3" borderId="14" xfId="0" applyFont="1" applyFill="1" applyBorder="1"/>
    <xf numFmtId="0" fontId="7" fillId="3" borderId="0" xfId="0" applyFont="1" applyFill="1" applyAlignment="1">
      <alignment horizontal="center"/>
    </xf>
    <xf numFmtId="0" fontId="38" fillId="3" borderId="0" xfId="0" applyFont="1" applyFill="1" applyAlignment="1" applyProtection="1">
      <alignment horizontal="left" indent="5"/>
      <protection locked="0"/>
    </xf>
    <xf numFmtId="0" fontId="26" fillId="3" borderId="0" xfId="0" applyFont="1" applyFill="1" applyBorder="1" applyAlignment="1" applyProtection="1">
      <alignment horizontal="left"/>
      <protection locked="0"/>
    </xf>
    <xf numFmtId="9" fontId="34" fillId="3" borderId="0" xfId="0" applyNumberFormat="1" applyFont="1" applyFill="1" applyBorder="1" applyAlignment="1">
      <alignment horizontal="left" vertical="center" indent="3"/>
    </xf>
    <xf numFmtId="0" fontId="26" fillId="3" borderId="1" xfId="0" applyFont="1" applyFill="1" applyBorder="1" applyAlignment="1" applyProtection="1">
      <alignment horizontal="left"/>
      <protection locked="0"/>
    </xf>
    <xf numFmtId="9" fontId="34" fillId="3" borderId="1" xfId="0" applyNumberFormat="1" applyFont="1" applyFill="1" applyBorder="1" applyAlignment="1">
      <alignment horizontal="left" vertical="center" indent="3"/>
    </xf>
    <xf numFmtId="4" fontId="7" fillId="3" borderId="1" xfId="0" applyNumberFormat="1" applyFont="1" applyFill="1" applyBorder="1" applyAlignment="1">
      <alignment horizontal="right" vertical="center" indent="3"/>
    </xf>
    <xf numFmtId="0" fontId="12" fillId="3" borderId="0" xfId="0" applyFont="1" applyFill="1" applyBorder="1" applyAlignment="1" applyProtection="1">
      <alignment horizontal="left"/>
      <protection locked="0"/>
    </xf>
    <xf numFmtId="4" fontId="7" fillId="3" borderId="0" xfId="0" applyNumberFormat="1" applyFont="1" applyFill="1"/>
    <xf numFmtId="0" fontId="28" fillId="3" borderId="14" xfId="0" applyFont="1" applyFill="1" applyBorder="1" applyAlignment="1">
      <alignment horizontal="left" vertical="top"/>
    </xf>
    <xf numFmtId="0" fontId="7" fillId="0" borderId="14" xfId="0" applyFont="1" applyFill="1" applyBorder="1" applyAlignment="1">
      <alignment vertical="top" wrapText="1"/>
    </xf>
    <xf numFmtId="167" fontId="7" fillId="0" borderId="2" xfId="0" applyNumberFormat="1" applyFont="1" applyFill="1" applyBorder="1" applyAlignment="1">
      <alignment vertical="top" wrapText="1"/>
    </xf>
    <xf numFmtId="0" fontId="7" fillId="0" borderId="0" xfId="0" applyFont="1" applyFill="1" applyAlignment="1">
      <alignment vertical="top"/>
    </xf>
    <xf numFmtId="0" fontId="9" fillId="0" borderId="0" xfId="0" applyFont="1" applyFill="1" applyBorder="1" applyAlignment="1">
      <alignment vertical="top"/>
    </xf>
    <xf numFmtId="0" fontId="7" fillId="0" borderId="7" xfId="0" applyFont="1" applyFill="1" applyBorder="1" applyAlignment="1">
      <alignment vertical="top"/>
    </xf>
    <xf numFmtId="0" fontId="7" fillId="0" borderId="3" xfId="0" applyFont="1" applyFill="1" applyBorder="1" applyAlignment="1">
      <alignment vertical="top"/>
    </xf>
    <xf numFmtId="0" fontId="7" fillId="0" borderId="9" xfId="0" applyFont="1" applyFill="1" applyBorder="1" applyAlignment="1">
      <alignment vertical="top"/>
    </xf>
    <xf numFmtId="0" fontId="7" fillId="0" borderId="1" xfId="0" applyFont="1" applyFill="1" applyBorder="1" applyAlignment="1">
      <alignment vertical="top"/>
    </xf>
    <xf numFmtId="0" fontId="7" fillId="0" borderId="8" xfId="0" applyFont="1" applyFill="1" applyBorder="1" applyAlignment="1">
      <alignment vertical="top"/>
    </xf>
    <xf numFmtId="0" fontId="7" fillId="0" borderId="10" xfId="0" applyFont="1" applyFill="1" applyBorder="1" applyAlignment="1">
      <alignment vertical="top"/>
    </xf>
    <xf numFmtId="0" fontId="7" fillId="0" borderId="2" xfId="0" applyFont="1" applyFill="1" applyBorder="1" applyAlignment="1">
      <alignment vertical="top"/>
    </xf>
    <xf numFmtId="0" fontId="7" fillId="0" borderId="0" xfId="0" applyFont="1" applyFill="1" applyBorder="1" applyAlignment="1">
      <alignment horizontal="left" vertical="top"/>
    </xf>
    <xf numFmtId="0" fontId="7" fillId="0" borderId="2" xfId="0" applyFont="1" applyFill="1" applyBorder="1" applyAlignment="1">
      <alignment horizontal="left" vertical="top"/>
    </xf>
    <xf numFmtId="167" fontId="7" fillId="0" borderId="0" xfId="0" applyNumberFormat="1" applyFont="1" applyFill="1" applyBorder="1" applyAlignment="1">
      <alignment horizontal="left" vertical="top"/>
    </xf>
    <xf numFmtId="0" fontId="7" fillId="0" borderId="12" xfId="0" applyFont="1" applyFill="1" applyBorder="1" applyAlignment="1">
      <alignment vertical="top"/>
    </xf>
    <xf numFmtId="0" fontId="7" fillId="0" borderId="11" xfId="0" applyFont="1" applyFill="1" applyBorder="1" applyAlignment="1">
      <alignment vertical="top"/>
    </xf>
    <xf numFmtId="167" fontId="30" fillId="0" borderId="0" xfId="0" applyNumberFormat="1" applyFont="1" applyFill="1" applyBorder="1" applyAlignment="1">
      <alignment horizontal="right" vertical="top"/>
    </xf>
    <xf numFmtId="167" fontId="30" fillId="0" borderId="0" xfId="0" applyNumberFormat="1" applyFont="1" applyFill="1" applyAlignment="1">
      <alignment horizontal="right" vertical="top"/>
    </xf>
    <xf numFmtId="167" fontId="7" fillId="0" borderId="0" xfId="0" applyNumberFormat="1" applyFont="1" applyFill="1" applyAlignment="1">
      <alignment horizontal="right" vertical="top"/>
    </xf>
    <xf numFmtId="167" fontId="7" fillId="0" borderId="0" xfId="0" applyNumberFormat="1" applyFont="1" applyFill="1" applyAlignment="1">
      <alignment vertical="top"/>
    </xf>
    <xf numFmtId="0" fontId="7" fillId="0" borderId="0" xfId="0" applyFont="1" applyFill="1" applyAlignment="1">
      <alignment horizontal="left" vertical="top"/>
    </xf>
    <xf numFmtId="167" fontId="7" fillId="0" borderId="0" xfId="0" applyNumberFormat="1" applyFont="1" applyFill="1" applyBorder="1" applyAlignment="1">
      <alignment horizontal="right" vertical="top"/>
    </xf>
    <xf numFmtId="167" fontId="30" fillId="0" borderId="2" xfId="0" applyNumberFormat="1" applyFont="1" applyFill="1" applyBorder="1" applyAlignment="1">
      <alignment horizontal="right" vertical="top"/>
    </xf>
    <xf numFmtId="0" fontId="7" fillId="0" borderId="1" xfId="0" applyFont="1" applyFill="1" applyBorder="1" applyAlignment="1">
      <alignment horizontal="left" vertical="top"/>
    </xf>
    <xf numFmtId="167" fontId="30" fillId="0" borderId="1" xfId="0" applyNumberFormat="1" applyFont="1" applyFill="1" applyBorder="1" applyAlignment="1">
      <alignment horizontal="right" vertical="top"/>
    </xf>
    <xf numFmtId="9" fontId="7" fillId="0" borderId="0" xfId="2" applyNumberFormat="1" applyFont="1" applyFill="1" applyBorder="1" applyAlignment="1">
      <alignment vertical="top"/>
    </xf>
    <xf numFmtId="0" fontId="9" fillId="0" borderId="3" xfId="0" applyFont="1" applyFill="1" applyBorder="1" applyAlignment="1">
      <alignment horizontal="right" vertical="top"/>
    </xf>
    <xf numFmtId="0" fontId="7" fillId="0" borderId="3" xfId="0" applyFont="1" applyFill="1" applyBorder="1" applyAlignment="1">
      <alignment horizontal="right" vertical="top"/>
    </xf>
    <xf numFmtId="0" fontId="30" fillId="0" borderId="1" xfId="0" applyFont="1" applyFill="1" applyBorder="1" applyAlignment="1">
      <alignment horizontal="right" vertical="top"/>
    </xf>
    <xf numFmtId="0" fontId="30" fillId="0" borderId="0" xfId="0" applyFont="1" applyFill="1" applyBorder="1" applyAlignment="1">
      <alignment horizontal="right" vertical="top"/>
    </xf>
    <xf numFmtId="0" fontId="7" fillId="0" borderId="0" xfId="0" applyFont="1" applyFill="1" applyAlignment="1">
      <alignment horizontal="right" vertical="top"/>
    </xf>
    <xf numFmtId="9" fontId="30" fillId="0" borderId="0" xfId="2" applyNumberFormat="1" applyFont="1" applyFill="1" applyBorder="1" applyAlignment="1">
      <alignment horizontal="right" vertical="top"/>
    </xf>
    <xf numFmtId="0" fontId="7" fillId="0" borderId="15" xfId="0" applyFont="1" applyFill="1" applyBorder="1" applyAlignment="1">
      <alignment horizontal="right"/>
    </xf>
    <xf numFmtId="0" fontId="7" fillId="0" borderId="16" xfId="0" applyFont="1" applyFill="1" applyBorder="1" applyAlignment="1">
      <alignment vertical="top"/>
    </xf>
    <xf numFmtId="0" fontId="7" fillId="0" borderId="17" xfId="0" applyFont="1" applyFill="1" applyBorder="1" applyAlignment="1">
      <alignment vertical="top"/>
    </xf>
    <xf numFmtId="167" fontId="30" fillId="0" borderId="17" xfId="0" applyNumberFormat="1" applyFont="1" applyFill="1" applyBorder="1" applyAlignment="1">
      <alignment horizontal="right" vertical="top"/>
    </xf>
    <xf numFmtId="0" fontId="7" fillId="0" borderId="17" xfId="0" applyFont="1" applyFill="1" applyBorder="1" applyAlignment="1">
      <alignment horizontal="right" vertical="top"/>
    </xf>
    <xf numFmtId="0" fontId="30" fillId="0" borderId="17" xfId="0" applyFont="1" applyFill="1" applyBorder="1" applyAlignment="1">
      <alignment horizontal="right" vertical="top"/>
    </xf>
    <xf numFmtId="0" fontId="7" fillId="0" borderId="19" xfId="0" applyFont="1" applyFill="1" applyBorder="1" applyAlignment="1">
      <alignment vertical="top"/>
    </xf>
    <xf numFmtId="0" fontId="7" fillId="0" borderId="15" xfId="0" applyFont="1" applyFill="1" applyBorder="1" applyAlignment="1">
      <alignment vertical="top"/>
    </xf>
    <xf numFmtId="167" fontId="30" fillId="0" borderId="15" xfId="0" applyNumberFormat="1" applyFont="1" applyFill="1" applyBorder="1" applyAlignment="1">
      <alignment horizontal="right" vertical="top"/>
    </xf>
    <xf numFmtId="0" fontId="30" fillId="0" borderId="15" xfId="0" applyFont="1" applyFill="1" applyBorder="1" applyAlignment="1">
      <alignment horizontal="right" vertical="top"/>
    </xf>
    <xf numFmtId="3" fontId="30" fillId="0" borderId="0" xfId="0" applyNumberFormat="1" applyFont="1" applyFill="1" applyBorder="1" applyAlignment="1">
      <alignment horizontal="right" vertical="top"/>
    </xf>
    <xf numFmtId="0" fontId="7" fillId="0" borderId="0" xfId="0" applyFont="1" applyFill="1" applyBorder="1" applyAlignment="1">
      <alignment horizontal="left" vertical="top" indent="1"/>
    </xf>
    <xf numFmtId="167" fontId="7" fillId="0" borderId="17" xfId="0" applyNumberFormat="1" applyFont="1" applyFill="1" applyBorder="1" applyAlignment="1">
      <alignment vertical="top"/>
    </xf>
    <xf numFmtId="167" fontId="7" fillId="0" borderId="17" xfId="0" applyNumberFormat="1" applyFont="1" applyFill="1" applyBorder="1" applyAlignment="1">
      <alignment horizontal="left" vertical="top"/>
    </xf>
    <xf numFmtId="0" fontId="7" fillId="0" borderId="18" xfId="0" applyFont="1" applyFill="1" applyBorder="1" applyAlignment="1">
      <alignment horizontal="left" vertical="top"/>
    </xf>
    <xf numFmtId="167" fontId="7" fillId="0" borderId="15" xfId="0" applyNumberFormat="1" applyFont="1" applyFill="1" applyBorder="1" applyAlignment="1">
      <alignment vertical="top"/>
    </xf>
    <xf numFmtId="0" fontId="7" fillId="0" borderId="16" xfId="0" applyFont="1" applyFill="1" applyBorder="1"/>
    <xf numFmtId="0" fontId="7" fillId="0" borderId="17" xfId="0" applyFont="1" applyFill="1" applyBorder="1"/>
    <xf numFmtId="167" fontId="30" fillId="0" borderId="17" xfId="0" applyNumberFormat="1" applyFont="1" applyFill="1" applyBorder="1" applyAlignment="1">
      <alignment horizontal="right"/>
    </xf>
    <xf numFmtId="167" fontId="7" fillId="0" borderId="0" xfId="0" applyNumberFormat="1" applyFont="1" applyFill="1" applyAlignment="1">
      <alignment horizontal="left"/>
    </xf>
    <xf numFmtId="167" fontId="7" fillId="0" borderId="0" xfId="0" applyNumberFormat="1" applyFont="1" applyFill="1" applyAlignment="1">
      <alignment vertical="top" wrapText="1"/>
    </xf>
    <xf numFmtId="0" fontId="9" fillId="0" borderId="17" xfId="0" applyFont="1" applyFill="1" applyBorder="1" applyAlignment="1">
      <alignment vertical="top"/>
    </xf>
    <xf numFmtId="0" fontId="30" fillId="0" borderId="2" xfId="0" applyFont="1" applyFill="1" applyBorder="1" applyAlignment="1">
      <alignment horizontal="right" vertical="top"/>
    </xf>
    <xf numFmtId="0" fontId="0" fillId="0" borderId="0" xfId="0" applyFill="1" applyAlignment="1">
      <alignment vertical="top"/>
    </xf>
    <xf numFmtId="0" fontId="7" fillId="0" borderId="20" xfId="0" applyFont="1" applyFill="1" applyBorder="1" applyAlignment="1">
      <alignment vertical="top"/>
    </xf>
    <xf numFmtId="0" fontId="30" fillId="0" borderId="0" xfId="0" applyFont="1" applyFill="1" applyAlignment="1">
      <alignment horizontal="right" vertical="top"/>
    </xf>
    <xf numFmtId="4" fontId="30" fillId="0" borderId="0" xfId="0" applyNumberFormat="1" applyFont="1" applyFill="1" applyBorder="1" applyAlignment="1">
      <alignment horizontal="right" vertical="top"/>
    </xf>
    <xf numFmtId="0" fontId="0" fillId="0" borderId="17" xfId="0" applyFill="1" applyBorder="1" applyAlignment="1">
      <alignment vertical="top"/>
    </xf>
    <xf numFmtId="3" fontId="12" fillId="3" borderId="0" xfId="0" applyNumberFormat="1" applyFont="1" applyFill="1" applyBorder="1" applyAlignment="1" applyProtection="1">
      <alignment horizontal="right" vertical="center" indent="3"/>
      <protection locked="0"/>
    </xf>
    <xf numFmtId="3" fontId="47" fillId="3" borderId="0" xfId="0" applyNumberFormat="1" applyFont="1" applyFill="1" applyBorder="1" applyAlignment="1" applyProtection="1">
      <alignment horizontal="right" vertical="center" indent="3"/>
      <protection locked="0"/>
    </xf>
    <xf numFmtId="0" fontId="9" fillId="2" borderId="15" xfId="0" applyFont="1" applyFill="1" applyBorder="1" applyAlignment="1">
      <alignment horizontal="left" wrapText="1"/>
    </xf>
    <xf numFmtId="0" fontId="9" fillId="2" borderId="15" xfId="0" applyFont="1" applyFill="1" applyBorder="1" applyAlignment="1">
      <alignment horizontal="center" vertical="top" wrapText="1"/>
    </xf>
    <xf numFmtId="0" fontId="0" fillId="2" borderId="0" xfId="0" applyFont="1" applyFill="1"/>
    <xf numFmtId="0" fontId="9" fillId="2" borderId="17" xfId="0" applyFont="1" applyFill="1" applyBorder="1" applyAlignment="1">
      <alignment horizontal="left"/>
    </xf>
    <xf numFmtId="3" fontId="9" fillId="2" borderId="17" xfId="0" applyNumberFormat="1" applyFont="1" applyFill="1" applyBorder="1" applyAlignment="1">
      <alignment horizontal="right" vertical="center" indent="3"/>
    </xf>
    <xf numFmtId="0" fontId="30" fillId="3" borderId="0" xfId="0" applyFont="1" applyFill="1" applyAlignment="1">
      <alignment horizontal="left"/>
    </xf>
    <xf numFmtId="0" fontId="30" fillId="2" borderId="0" xfId="0" applyFont="1" applyFill="1" applyBorder="1" applyAlignment="1">
      <alignment horizontal="left"/>
    </xf>
    <xf numFmtId="3" fontId="38" fillId="2" borderId="17" xfId="0" applyNumberFormat="1" applyFont="1" applyFill="1" applyBorder="1" applyAlignment="1">
      <alignment horizontal="right" vertical="center" indent="3"/>
    </xf>
    <xf numFmtId="3" fontId="38" fillId="2" borderId="17" xfId="0" applyNumberFormat="1" applyFont="1" applyFill="1" applyBorder="1" applyAlignment="1">
      <alignment horizontal="right" vertical="center" indent="5"/>
    </xf>
    <xf numFmtId="3" fontId="7" fillId="3" borderId="2" xfId="0" applyNumberFormat="1" applyFont="1" applyFill="1" applyBorder="1" applyAlignment="1" applyProtection="1">
      <alignment horizontal="right" vertical="center"/>
      <protection locked="0"/>
    </xf>
    <xf numFmtId="3" fontId="30" fillId="3" borderId="0" xfId="0" applyNumberFormat="1" applyFont="1" applyFill="1" applyBorder="1" applyAlignment="1" applyProtection="1">
      <alignment horizontal="right" vertical="center" indent="3"/>
      <protection locked="0"/>
    </xf>
    <xf numFmtId="9" fontId="30" fillId="3" borderId="0" xfId="2" applyFont="1" applyFill="1" applyBorder="1" applyAlignment="1" applyProtection="1">
      <alignment horizontal="right" vertical="center"/>
      <protection locked="0"/>
    </xf>
    <xf numFmtId="3" fontId="7" fillId="3" borderId="0" xfId="0" applyNumberFormat="1" applyFont="1" applyFill="1" applyBorder="1" applyAlignment="1" applyProtection="1">
      <alignment horizontal="right" vertical="center"/>
      <protection locked="0"/>
    </xf>
    <xf numFmtId="3" fontId="7" fillId="3" borderId="17" xfId="0" applyNumberFormat="1" applyFont="1" applyFill="1" applyBorder="1" applyAlignment="1" applyProtection="1">
      <alignment horizontal="right" vertical="center"/>
      <protection locked="0"/>
    </xf>
    <xf numFmtId="0" fontId="28" fillId="3" borderId="17" xfId="0" applyFont="1" applyFill="1" applyBorder="1"/>
    <xf numFmtId="3" fontId="9" fillId="3" borderId="15" xfId="0" applyNumberFormat="1" applyFont="1" applyFill="1" applyBorder="1" applyAlignment="1" applyProtection="1">
      <alignment vertical="center"/>
      <protection locked="0"/>
    </xf>
    <xf numFmtId="3" fontId="7" fillId="3" borderId="15" xfId="0" applyNumberFormat="1" applyFont="1" applyFill="1" applyBorder="1" applyAlignment="1" applyProtection="1">
      <alignment horizontal="right" vertical="center" indent="3"/>
      <protection locked="0"/>
    </xf>
    <xf numFmtId="9" fontId="7" fillId="3" borderId="15" xfId="2" applyFont="1" applyFill="1" applyBorder="1" applyAlignment="1" applyProtection="1">
      <alignment horizontal="right" vertical="center"/>
      <protection locked="0"/>
    </xf>
    <xf numFmtId="3" fontId="9" fillId="3" borderId="15" xfId="0" applyNumberFormat="1" applyFont="1" applyFill="1" applyBorder="1" applyAlignment="1" applyProtection="1">
      <alignment horizontal="right" vertical="center"/>
      <protection locked="0"/>
    </xf>
    <xf numFmtId="3" fontId="9" fillId="3" borderId="15" xfId="0" applyNumberFormat="1" applyFont="1" applyFill="1" applyBorder="1"/>
    <xf numFmtId="0" fontId="30" fillId="3" borderId="0" xfId="0" applyFont="1" applyFill="1"/>
    <xf numFmtId="0" fontId="30" fillId="3" borderId="14" xfId="0" applyFont="1" applyFill="1" applyBorder="1" applyAlignment="1">
      <alignment vertical="top"/>
    </xf>
    <xf numFmtId="3" fontId="16" fillId="2" borderId="17" xfId="0" applyNumberFormat="1" applyFont="1" applyFill="1" applyBorder="1" applyAlignment="1">
      <alignment horizontal="right" vertical="center" indent="3"/>
    </xf>
    <xf numFmtId="3" fontId="7" fillId="2" borderId="17" xfId="0" applyNumberFormat="1" applyFont="1" applyFill="1" applyBorder="1" applyAlignment="1">
      <alignment horizontal="right" vertical="center" indent="5"/>
    </xf>
    <xf numFmtId="4" fontId="16" fillId="2" borderId="17" xfId="0" applyNumberFormat="1" applyFont="1" applyFill="1" applyBorder="1" applyAlignment="1">
      <alignment horizontal="right" vertical="center" indent="3"/>
    </xf>
    <xf numFmtId="3" fontId="30" fillId="2" borderId="17" xfId="0" applyNumberFormat="1" applyFont="1" applyFill="1" applyBorder="1" applyAlignment="1" applyProtection="1">
      <alignment horizontal="right" vertical="center" indent="4"/>
      <protection locked="0"/>
    </xf>
    <xf numFmtId="0" fontId="7" fillId="3" borderId="0" xfId="0" applyFont="1" applyFill="1" applyBorder="1" applyAlignment="1">
      <alignment horizontal="left" indent="1"/>
    </xf>
    <xf numFmtId="4" fontId="16" fillId="2" borderId="17" xfId="0" applyNumberFormat="1" applyFont="1" applyFill="1" applyBorder="1" applyAlignment="1">
      <alignment horizontal="right" vertical="center" indent="4"/>
    </xf>
    <xf numFmtId="3" fontId="16" fillId="2" borderId="0" xfId="0" applyNumberFormat="1" applyFont="1" applyFill="1" applyBorder="1" applyAlignment="1">
      <alignment horizontal="right" vertical="center" indent="3"/>
    </xf>
    <xf numFmtId="4" fontId="16" fillId="2" borderId="0" xfId="0" applyNumberFormat="1" applyFont="1" applyFill="1" applyBorder="1" applyAlignment="1">
      <alignment horizontal="right" vertical="center" indent="3"/>
    </xf>
    <xf numFmtId="3" fontId="30" fillId="2" borderId="0" xfId="0" applyNumberFormat="1" applyFont="1" applyFill="1" applyBorder="1" applyAlignment="1" applyProtection="1">
      <alignment horizontal="right" vertical="center" indent="4"/>
      <protection locked="0"/>
    </xf>
    <xf numFmtId="0" fontId="7" fillId="2" borderId="17" xfId="0" applyFont="1" applyFill="1" applyBorder="1"/>
    <xf numFmtId="0" fontId="9" fillId="3" borderId="15" xfId="0" applyFont="1" applyFill="1" applyBorder="1" applyAlignment="1">
      <alignment horizontal="left"/>
    </xf>
    <xf numFmtId="1" fontId="9" fillId="3" borderId="15" xfId="0" applyNumberFormat="1" applyFont="1" applyFill="1" applyBorder="1"/>
    <xf numFmtId="0" fontId="46" fillId="3" borderId="17" xfId="0" applyFont="1" applyFill="1" applyBorder="1" applyAlignment="1">
      <alignment wrapText="1"/>
    </xf>
    <xf numFmtId="37" fontId="30" fillId="2" borderId="0" xfId="0" applyNumberFormat="1" applyFont="1" applyFill="1" applyAlignment="1" applyProtection="1">
      <alignment horizontal="left"/>
      <protection locked="0"/>
    </xf>
    <xf numFmtId="0" fontId="26" fillId="2" borderId="21" xfId="0" applyFont="1" applyFill="1" applyBorder="1" applyAlignment="1">
      <alignment horizontal="left"/>
    </xf>
    <xf numFmtId="165" fontId="34" fillId="2" borderId="21" xfId="3" applyNumberFormat="1" applyFont="1" applyFill="1" applyBorder="1" applyAlignment="1" applyProtection="1">
      <alignment horizontal="right" indent="3"/>
      <protection locked="0"/>
    </xf>
    <xf numFmtId="0" fontId="6" fillId="2" borderId="21" xfId="0" applyFont="1" applyFill="1" applyBorder="1"/>
    <xf numFmtId="0" fontId="7" fillId="0" borderId="0" xfId="0" applyFont="1" applyFill="1" applyBorder="1"/>
    <xf numFmtId="2" fontId="30" fillId="0" borderId="0" xfId="0" applyNumberFormat="1" applyFont="1" applyFill="1" applyBorder="1" applyAlignment="1">
      <alignment horizontal="right" vertical="top"/>
    </xf>
    <xf numFmtId="167" fontId="7" fillId="0" borderId="0" xfId="0" applyNumberFormat="1" applyFont="1" applyFill="1"/>
    <xf numFmtId="3" fontId="30" fillId="3" borderId="22" xfId="0" applyNumberFormat="1" applyFont="1" applyFill="1" applyBorder="1" applyAlignment="1" applyProtection="1">
      <alignment horizontal="right" vertical="center" indent="3"/>
      <protection locked="0"/>
    </xf>
    <xf numFmtId="3" fontId="7" fillId="3" borderId="0" xfId="0" applyNumberFormat="1" applyFont="1" applyFill="1" applyBorder="1"/>
    <xf numFmtId="3" fontId="7" fillId="3" borderId="17" xfId="0" applyNumberFormat="1" applyFont="1" applyFill="1" applyBorder="1"/>
    <xf numFmtId="4" fontId="7" fillId="3" borderId="0" xfId="0" applyNumberFormat="1" applyFont="1" applyFill="1" applyAlignment="1" applyProtection="1">
      <alignment horizontal="right" indent="2"/>
      <protection locked="0"/>
    </xf>
    <xf numFmtId="167" fontId="7" fillId="0" borderId="0" xfId="0" applyNumberFormat="1" applyFont="1" applyFill="1" applyBorder="1" applyAlignment="1">
      <alignment wrapText="1"/>
    </xf>
    <xf numFmtId="0" fontId="7" fillId="0" borderId="0" xfId="0" applyFont="1" applyFill="1" applyBorder="1" applyAlignment="1">
      <alignment vertical="top" wrapText="1"/>
    </xf>
    <xf numFmtId="0" fontId="28" fillId="3" borderId="0" xfId="0" applyFont="1" applyFill="1" applyBorder="1" applyAlignment="1">
      <alignment vertical="top"/>
    </xf>
    <xf numFmtId="0" fontId="30" fillId="3" borderId="0" xfId="0" applyFont="1" applyFill="1" applyBorder="1" applyAlignment="1">
      <alignment vertical="top"/>
    </xf>
    <xf numFmtId="0" fontId="45" fillId="3" borderId="0" xfId="0" applyFont="1" applyFill="1" applyBorder="1" applyAlignment="1">
      <alignment vertical="top"/>
    </xf>
    <xf numFmtId="0" fontId="6" fillId="2" borderId="22" xfId="0" applyFont="1" applyFill="1" applyBorder="1"/>
    <xf numFmtId="0" fontId="30" fillId="3" borderId="1" xfId="0" applyFont="1" applyFill="1" applyBorder="1" applyAlignment="1">
      <alignment horizontal="center"/>
    </xf>
    <xf numFmtId="3" fontId="30" fillId="3" borderId="5" xfId="0" applyNumberFormat="1" applyFont="1" applyFill="1" applyBorder="1" applyAlignment="1" applyProtection="1">
      <alignment horizontal="center"/>
      <protection locked="0"/>
    </xf>
    <xf numFmtId="0" fontId="30" fillId="3" borderId="6" xfId="0" applyFont="1" applyFill="1" applyBorder="1" applyProtection="1">
      <protection locked="0"/>
    </xf>
    <xf numFmtId="43" fontId="30" fillId="3" borderId="0" xfId="0" applyNumberFormat="1" applyFont="1" applyFill="1" applyAlignment="1" applyProtection="1">
      <alignment horizontal="right"/>
      <protection locked="0"/>
    </xf>
    <xf numFmtId="4" fontId="30" fillId="3" borderId="0" xfId="0" applyNumberFormat="1" applyFont="1" applyFill="1" applyAlignment="1" applyProtection="1">
      <alignment horizontal="right" vertical="center" indent="3"/>
      <protection locked="0"/>
    </xf>
    <xf numFmtId="4" fontId="30" fillId="3" borderId="1" xfId="0" applyNumberFormat="1" applyFont="1" applyFill="1" applyBorder="1" applyAlignment="1" applyProtection="1">
      <alignment horizontal="right" vertical="center" indent="3"/>
      <protection locked="0"/>
    </xf>
    <xf numFmtId="4" fontId="30" fillId="3" borderId="0" xfId="0" applyNumberFormat="1" applyFont="1" applyFill="1" applyBorder="1" applyAlignment="1" applyProtection="1">
      <alignment horizontal="right" vertical="center" indent="3"/>
      <protection locked="0"/>
    </xf>
    <xf numFmtId="43" fontId="30" fillId="3" borderId="1" xfId="0" applyNumberFormat="1" applyFont="1" applyFill="1" applyBorder="1" applyAlignment="1" applyProtection="1">
      <alignment horizontal="right"/>
      <protection locked="0"/>
    </xf>
    <xf numFmtId="0" fontId="30" fillId="3" borderId="0" xfId="0" applyFont="1" applyFill="1" applyAlignment="1" applyProtection="1">
      <alignment horizontal="right" indent="1"/>
      <protection locked="0"/>
    </xf>
    <xf numFmtId="43" fontId="30" fillId="3" borderId="4" xfId="0" applyNumberFormat="1" applyFont="1" applyFill="1" applyBorder="1" applyAlignment="1" applyProtection="1">
      <alignment horizontal="right" indent="2"/>
      <protection locked="0"/>
    </xf>
    <xf numFmtId="4" fontId="30" fillId="3" borderId="1" xfId="0" applyNumberFormat="1" applyFont="1" applyFill="1" applyBorder="1" applyAlignment="1" applyProtection="1">
      <alignment horizontal="right" indent="1"/>
      <protection locked="0"/>
    </xf>
    <xf numFmtId="0" fontId="7" fillId="0" borderId="8" xfId="0" applyFont="1" applyFill="1" applyBorder="1" applyAlignment="1">
      <alignment vertical="top" wrapText="1"/>
    </xf>
    <xf numFmtId="9" fontId="9" fillId="3" borderId="23" xfId="2" applyFont="1" applyFill="1" applyBorder="1" applyAlignment="1">
      <alignment horizontal="center" vertical="top" wrapText="1"/>
    </xf>
    <xf numFmtId="0" fontId="9" fillId="3" borderId="23" xfId="0" applyFont="1" applyFill="1" applyBorder="1" applyAlignment="1">
      <alignment horizontal="right" vertical="top" wrapText="1"/>
    </xf>
    <xf numFmtId="0" fontId="8" fillId="0" borderId="3" xfId="0" applyFont="1" applyFill="1" applyBorder="1" applyAlignment="1">
      <alignment vertical="top"/>
    </xf>
    <xf numFmtId="0" fontId="6" fillId="0" borderId="0" xfId="0" applyFont="1"/>
    <xf numFmtId="0" fontId="7" fillId="2" borderId="23" xfId="0" applyFont="1" applyFill="1" applyBorder="1" applyAlignment="1">
      <alignment horizontal="left"/>
    </xf>
    <xf numFmtId="4" fontId="7" fillId="2" borderId="0" xfId="0" applyNumberFormat="1" applyFont="1" applyFill="1"/>
    <xf numFmtId="0" fontId="6" fillId="2" borderId="0" xfId="0" quotePrefix="1" applyFont="1" applyFill="1" applyBorder="1" applyAlignment="1">
      <alignment horizontal="right" vertical="top" indent="1"/>
    </xf>
    <xf numFmtId="9" fontId="51" fillId="3" borderId="0" xfId="0" applyNumberFormat="1" applyFont="1" applyFill="1" applyAlignment="1">
      <alignment horizontal="left"/>
    </xf>
    <xf numFmtId="0" fontId="7" fillId="3" borderId="2" xfId="0" applyFont="1" applyFill="1" applyBorder="1"/>
    <xf numFmtId="0" fontId="7" fillId="3" borderId="23" xfId="0" applyFont="1" applyFill="1" applyBorder="1"/>
    <xf numFmtId="168" fontId="38" fillId="3" borderId="25" xfId="0" applyNumberFormat="1" applyFont="1" applyFill="1" applyBorder="1" applyAlignment="1">
      <alignment horizontal="center" vertical="center"/>
    </xf>
    <xf numFmtId="168" fontId="7" fillId="3" borderId="0" xfId="0" applyNumberFormat="1" applyFont="1" applyFill="1" applyBorder="1" applyAlignment="1">
      <alignment horizontal="center" vertical="center"/>
    </xf>
    <xf numFmtId="0" fontId="7" fillId="2" borderId="0" xfId="0" applyFont="1" applyFill="1" applyAlignment="1">
      <alignment vertical="top"/>
    </xf>
    <xf numFmtId="0" fontId="23" fillId="2" borderId="0" xfId="0" applyFont="1" applyFill="1" applyAlignment="1">
      <alignment vertical="top"/>
    </xf>
    <xf numFmtId="0" fontId="45" fillId="2" borderId="0" xfId="0" applyFont="1" applyFill="1" applyAlignment="1">
      <alignment vertical="top" wrapText="1"/>
    </xf>
    <xf numFmtId="43" fontId="45" fillId="2" borderId="0" xfId="0" applyNumberFormat="1" applyFont="1" applyFill="1" applyAlignment="1">
      <alignment vertical="top"/>
    </xf>
    <xf numFmtId="4" fontId="45" fillId="2" borderId="0" xfId="0" applyNumberFormat="1" applyFont="1" applyFill="1" applyBorder="1" applyAlignment="1">
      <alignment horizontal="right" vertical="top"/>
    </xf>
    <xf numFmtId="4" fontId="45" fillId="2" borderId="0" xfId="0" applyNumberFormat="1" applyFont="1" applyFill="1" applyAlignment="1">
      <alignment horizontal="right" vertical="top"/>
    </xf>
    <xf numFmtId="0" fontId="15" fillId="2" borderId="0" xfId="0" applyFont="1" applyFill="1"/>
    <xf numFmtId="0" fontId="7" fillId="0" borderId="29" xfId="0" applyFont="1" applyFill="1" applyBorder="1" applyAlignment="1">
      <alignment vertical="top"/>
    </xf>
    <xf numFmtId="0" fontId="7" fillId="0" borderId="30" xfId="0" applyFont="1" applyFill="1" applyBorder="1" applyAlignment="1">
      <alignment vertical="top"/>
    </xf>
    <xf numFmtId="167" fontId="30" fillId="0" borderId="30" xfId="0" applyNumberFormat="1" applyFont="1" applyFill="1" applyBorder="1" applyAlignment="1">
      <alignment horizontal="right" vertical="top"/>
    </xf>
    <xf numFmtId="167" fontId="7" fillId="0" borderId="30" xfId="0" applyNumberFormat="1" applyFont="1" applyFill="1" applyBorder="1" applyAlignment="1">
      <alignment vertical="top"/>
    </xf>
    <xf numFmtId="0" fontId="28" fillId="3" borderId="31" xfId="0" applyFont="1" applyFill="1" applyBorder="1" applyAlignment="1">
      <alignment horizontal="left" indent="1"/>
    </xf>
    <xf numFmtId="4" fontId="30" fillId="3" borderId="31" xfId="0" applyNumberFormat="1" applyFont="1" applyFill="1" applyBorder="1" applyAlignment="1" applyProtection="1">
      <alignment horizontal="right" vertical="center" indent="2"/>
      <protection locked="0"/>
    </xf>
    <xf numFmtId="3" fontId="30" fillId="3" borderId="31" xfId="0" applyNumberFormat="1" applyFont="1" applyFill="1" applyBorder="1" applyAlignment="1">
      <alignment horizontal="center" vertical="center"/>
    </xf>
    <xf numFmtId="4" fontId="7" fillId="3" borderId="31" xfId="0" applyNumberFormat="1" applyFont="1" applyFill="1" applyBorder="1" applyAlignment="1">
      <alignment horizontal="right" vertical="center" indent="2"/>
    </xf>
    <xf numFmtId="3" fontId="7" fillId="3" borderId="31" xfId="0" applyNumberFormat="1" applyFont="1" applyFill="1" applyBorder="1" applyAlignment="1">
      <alignment horizontal="right" vertical="center" indent="4"/>
    </xf>
    <xf numFmtId="4" fontId="16" fillId="3" borderId="31" xfId="0" applyNumberFormat="1" applyFont="1" applyFill="1" applyBorder="1" applyAlignment="1">
      <alignment horizontal="right" vertical="center" indent="2"/>
    </xf>
    <xf numFmtId="37" fontId="30" fillId="2" borderId="0" xfId="0" applyNumberFormat="1" applyFont="1" applyFill="1" applyProtection="1">
      <protection locked="0"/>
    </xf>
    <xf numFmtId="0" fontId="38" fillId="3" borderId="32" xfId="0" applyFont="1" applyFill="1" applyBorder="1" applyAlignment="1" applyProtection="1">
      <alignment horizontal="left" indent="5"/>
      <protection locked="0"/>
    </xf>
    <xf numFmtId="0" fontId="7" fillId="2" borderId="0" xfId="0" quotePrefix="1" applyFont="1" applyFill="1" applyBorder="1" applyAlignment="1">
      <alignment horizontal="right" vertical="top" wrapText="1" indent="1"/>
    </xf>
    <xf numFmtId="0" fontId="28" fillId="3" borderId="0" xfId="0" applyFont="1" applyFill="1" applyAlignment="1">
      <alignment vertical="top"/>
    </xf>
    <xf numFmtId="168" fontId="7" fillId="4" borderId="0" xfId="0" applyNumberFormat="1" applyFont="1" applyFill="1" applyBorder="1" applyAlignment="1">
      <alignment horizontal="center" vertical="center"/>
    </xf>
    <xf numFmtId="0" fontId="8" fillId="0" borderId="0" xfId="0" applyFont="1" applyFill="1" applyBorder="1" applyAlignment="1">
      <alignment vertical="top"/>
    </xf>
    <xf numFmtId="0" fontId="28" fillId="3" borderId="33" xfId="0" applyFont="1" applyFill="1" applyBorder="1"/>
    <xf numFmtId="9" fontId="28" fillId="3" borderId="0" xfId="0" applyNumberFormat="1" applyFont="1" applyFill="1" applyBorder="1" applyAlignment="1">
      <alignment horizontal="center"/>
    </xf>
    <xf numFmtId="168" fontId="28" fillId="3" borderId="0" xfId="0" applyNumberFormat="1" applyFont="1" applyFill="1" applyBorder="1" applyAlignment="1">
      <alignment horizontal="center"/>
    </xf>
    <xf numFmtId="0" fontId="28" fillId="3" borderId="0" xfId="0" applyFont="1" applyFill="1" applyBorder="1" applyAlignment="1">
      <alignment horizontal="center"/>
    </xf>
    <xf numFmtId="9" fontId="28" fillId="3" borderId="33" xfId="0" applyNumberFormat="1" applyFont="1" applyFill="1" applyBorder="1" applyAlignment="1">
      <alignment horizontal="center"/>
    </xf>
    <xf numFmtId="168" fontId="28" fillId="3" borderId="33" xfId="0" applyNumberFormat="1" applyFont="1" applyFill="1" applyBorder="1" applyAlignment="1">
      <alignment horizontal="center"/>
    </xf>
    <xf numFmtId="2" fontId="28" fillId="3" borderId="33" xfId="0" applyNumberFormat="1" applyFont="1" applyFill="1" applyBorder="1" applyAlignment="1">
      <alignment horizontal="center"/>
    </xf>
    <xf numFmtId="0" fontId="28" fillId="3" borderId="33" xfId="0" applyFont="1" applyFill="1" applyBorder="1" applyAlignment="1">
      <alignment horizontal="center"/>
    </xf>
    <xf numFmtId="0" fontId="53" fillId="3" borderId="0" xfId="0" applyFont="1" applyFill="1"/>
    <xf numFmtId="4" fontId="30" fillId="3" borderId="0" xfId="0" applyNumberFormat="1" applyFont="1" applyFill="1" applyBorder="1" applyAlignment="1" applyProtection="1">
      <alignment horizontal="right" indent="1"/>
      <protection locked="0"/>
    </xf>
    <xf numFmtId="4" fontId="7" fillId="3" borderId="0" xfId="0" applyNumberFormat="1" applyFont="1" applyFill="1" applyBorder="1" applyAlignment="1">
      <alignment horizontal="right" vertical="top" indent="2"/>
    </xf>
    <xf numFmtId="0" fontId="9" fillId="2" borderId="30" xfId="0" applyFont="1" applyFill="1" applyBorder="1" applyAlignment="1">
      <alignment horizontal="center" vertical="top" wrapText="1"/>
    </xf>
    <xf numFmtId="0" fontId="54" fillId="3" borderId="0" xfId="0" applyFont="1" applyFill="1" applyBorder="1" applyAlignment="1">
      <alignment vertical="top"/>
    </xf>
    <xf numFmtId="0" fontId="28" fillId="3" borderId="0" xfId="0" applyFont="1" applyFill="1" applyAlignment="1">
      <alignment horizontal="center"/>
    </xf>
    <xf numFmtId="0" fontId="28" fillId="3" borderId="0" xfId="0" applyFont="1" applyFill="1" applyAlignment="1">
      <alignment horizontal="right"/>
    </xf>
    <xf numFmtId="0" fontId="28" fillId="3" borderId="0" xfId="0" applyFont="1" applyFill="1" applyAlignment="1">
      <alignment horizontal="left"/>
    </xf>
    <xf numFmtId="0" fontId="7" fillId="3" borderId="0" xfId="0" applyFont="1" applyFill="1" applyBorder="1" applyAlignment="1">
      <alignment vertical="top"/>
    </xf>
    <xf numFmtId="0" fontId="50" fillId="3" borderId="12" xfId="0" applyFont="1" applyFill="1" applyBorder="1" applyAlignment="1">
      <alignment horizontal="left"/>
    </xf>
    <xf numFmtId="0" fontId="50" fillId="3" borderId="0" xfId="0" applyFont="1" applyFill="1" applyBorder="1" applyAlignment="1">
      <alignment horizontal="right"/>
    </xf>
    <xf numFmtId="0" fontId="50" fillId="3" borderId="0" xfId="0" applyFont="1" applyFill="1" applyBorder="1" applyAlignment="1">
      <alignment horizontal="right" wrapText="1"/>
    </xf>
    <xf numFmtId="0" fontId="50" fillId="3" borderId="28" xfId="0" applyFont="1" applyFill="1" applyBorder="1" applyAlignment="1">
      <alignment horizontal="right" wrapText="1"/>
    </xf>
    <xf numFmtId="0" fontId="50" fillId="3" borderId="2" xfId="0" applyFont="1" applyFill="1" applyBorder="1" applyAlignment="1">
      <alignment horizontal="right"/>
    </xf>
    <xf numFmtId="0" fontId="50" fillId="3" borderId="2" xfId="0" applyFont="1" applyFill="1" applyBorder="1" applyAlignment="1">
      <alignment horizontal="right" wrapText="1"/>
    </xf>
    <xf numFmtId="0" fontId="50" fillId="3" borderId="26" xfId="0" applyFont="1" applyFill="1" applyBorder="1" applyAlignment="1">
      <alignment horizontal="right" wrapText="1"/>
    </xf>
    <xf numFmtId="0" fontId="50" fillId="3" borderId="0" xfId="0" applyFont="1" applyFill="1" applyAlignment="1">
      <alignment horizontal="left" vertical="top"/>
    </xf>
    <xf numFmtId="0" fontId="28" fillId="3" borderId="23" xfId="0" applyFont="1" applyFill="1" applyBorder="1"/>
    <xf numFmtId="0" fontId="28" fillId="3" borderId="23" xfId="0" applyFont="1" applyFill="1" applyBorder="1" applyAlignment="1">
      <alignment horizontal="right"/>
    </xf>
    <xf numFmtId="0" fontId="28" fillId="3" borderId="0" xfId="0" applyFont="1" applyFill="1" applyBorder="1" applyAlignment="1">
      <alignment horizontal="right"/>
    </xf>
    <xf numFmtId="0" fontId="28" fillId="3" borderId="27" xfId="0" applyFont="1" applyFill="1" applyBorder="1" applyAlignment="1">
      <alignment horizontal="left"/>
    </xf>
    <xf numFmtId="4" fontId="28" fillId="3" borderId="0" xfId="0" applyNumberFormat="1" applyFont="1" applyFill="1" applyBorder="1"/>
    <xf numFmtId="43" fontId="28" fillId="3" borderId="0" xfId="0" applyNumberFormat="1" applyFont="1" applyFill="1" applyBorder="1" applyAlignment="1">
      <alignment horizontal="right" wrapText="1"/>
    </xf>
    <xf numFmtId="4" fontId="28" fillId="3" borderId="0" xfId="0" applyNumberFormat="1" applyFont="1" applyFill="1" applyBorder="1" applyAlignment="1">
      <alignment horizontal="right"/>
    </xf>
    <xf numFmtId="4" fontId="28" fillId="3" borderId="28" xfId="0" applyNumberFormat="1" applyFont="1" applyFill="1" applyBorder="1" applyAlignment="1">
      <alignment horizontal="right"/>
    </xf>
    <xf numFmtId="4" fontId="28" fillId="3" borderId="28" xfId="0" applyNumberFormat="1" applyFont="1" applyFill="1" applyBorder="1"/>
    <xf numFmtId="0" fontId="28" fillId="3" borderId="28" xfId="0" applyFont="1" applyFill="1" applyBorder="1" applyAlignment="1">
      <alignment horizontal="right"/>
    </xf>
    <xf numFmtId="0" fontId="28" fillId="3" borderId="28" xfId="0" applyFont="1" applyFill="1" applyBorder="1"/>
    <xf numFmtId="0" fontId="45" fillId="3" borderId="0" xfId="0" applyFont="1" applyFill="1" applyBorder="1" applyAlignment="1">
      <alignment horizontal="right"/>
    </xf>
    <xf numFmtId="168" fontId="45" fillId="3" borderId="28" xfId="0" applyNumberFormat="1" applyFont="1" applyFill="1" applyBorder="1"/>
    <xf numFmtId="0" fontId="45" fillId="3" borderId="28" xfId="0" applyFont="1" applyFill="1" applyBorder="1"/>
    <xf numFmtId="0" fontId="56" fillId="3" borderId="0" xfId="0" applyFont="1" applyFill="1" applyBorder="1" applyAlignment="1">
      <alignment horizontal="right"/>
    </xf>
    <xf numFmtId="168" fontId="56" fillId="3" borderId="28" xfId="0" applyNumberFormat="1" applyFont="1" applyFill="1" applyBorder="1"/>
    <xf numFmtId="0" fontId="28" fillId="3" borderId="34" xfId="0" applyFont="1" applyFill="1" applyBorder="1" applyAlignment="1">
      <alignment horizontal="left"/>
    </xf>
    <xf numFmtId="0" fontId="56" fillId="3" borderId="33" xfId="0" applyFont="1" applyFill="1" applyBorder="1" applyAlignment="1">
      <alignment horizontal="right"/>
    </xf>
    <xf numFmtId="0" fontId="56" fillId="3" borderId="35" xfId="0" applyFont="1" applyFill="1" applyBorder="1"/>
    <xf numFmtId="8" fontId="28" fillId="3" borderId="0" xfId="0" applyNumberFormat="1" applyFont="1" applyFill="1" applyAlignment="1">
      <alignment horizontal="right"/>
    </xf>
    <xf numFmtId="9" fontId="28" fillId="3" borderId="0" xfId="0" applyNumberFormat="1" applyFont="1" applyFill="1" applyBorder="1" applyAlignment="1">
      <alignment horizontal="center" vertical="top" wrapText="1"/>
    </xf>
    <xf numFmtId="2" fontId="28" fillId="3" borderId="0" xfId="0" applyNumberFormat="1" applyFont="1" applyFill="1" applyBorder="1" applyAlignment="1">
      <alignment horizontal="center"/>
    </xf>
    <xf numFmtId="168" fontId="7" fillId="4" borderId="36" xfId="0" applyNumberFormat="1" applyFont="1" applyFill="1" applyBorder="1" applyAlignment="1">
      <alignment horizontal="center" vertical="center"/>
    </xf>
    <xf numFmtId="0" fontId="28" fillId="3" borderId="36" xfId="0" applyFont="1" applyFill="1" applyBorder="1" applyAlignment="1">
      <alignment horizontal="right"/>
    </xf>
    <xf numFmtId="0" fontId="28" fillId="3" borderId="36" xfId="0" applyFont="1" applyFill="1" applyBorder="1"/>
    <xf numFmtId="2" fontId="56" fillId="3" borderId="28" xfId="0" applyNumberFormat="1" applyFont="1" applyFill="1" applyBorder="1" applyAlignment="1">
      <alignment horizontal="right"/>
    </xf>
    <xf numFmtId="0" fontId="56" fillId="3" borderId="37" xfId="0" applyFont="1" applyFill="1" applyBorder="1"/>
    <xf numFmtId="168" fontId="28" fillId="3" borderId="0" xfId="0" applyNumberFormat="1" applyFont="1" applyFill="1" applyBorder="1" applyAlignment="1">
      <alignment horizontal="center" vertical="top" wrapText="1"/>
    </xf>
    <xf numFmtId="0" fontId="50" fillId="3" borderId="32" xfId="0" applyFont="1" applyFill="1" applyBorder="1" applyAlignment="1">
      <alignment horizontal="center" vertical="top" wrapText="1"/>
    </xf>
    <xf numFmtId="0" fontId="57" fillId="3" borderId="32" xfId="0" applyFont="1" applyFill="1" applyBorder="1" applyAlignment="1">
      <alignment horizontal="center" vertical="top" wrapText="1"/>
    </xf>
    <xf numFmtId="0" fontId="28" fillId="3" borderId="0" xfId="0" applyFont="1" applyFill="1" applyBorder="1" applyAlignment="1">
      <alignment horizontal="center" vertical="top" wrapText="1"/>
    </xf>
    <xf numFmtId="0" fontId="30" fillId="3" borderId="0" xfId="0" applyFont="1" applyFill="1" applyAlignment="1">
      <alignment horizontal="left" vertical="top" wrapText="1"/>
    </xf>
    <xf numFmtId="0" fontId="36" fillId="2" borderId="0" xfId="0" applyFont="1" applyFill="1" applyBorder="1" applyAlignment="1">
      <alignment horizontal="left"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7" fillId="2" borderId="0" xfId="0" quotePrefix="1" applyFont="1" applyFill="1" applyBorder="1" applyAlignment="1">
      <alignment horizontal="right" vertical="top" wrapText="1" indent="1"/>
    </xf>
    <xf numFmtId="0" fontId="8" fillId="2" borderId="22" xfId="0" applyFont="1" applyFill="1" applyBorder="1" applyAlignment="1">
      <alignment horizontal="left"/>
    </xf>
    <xf numFmtId="0" fontId="4" fillId="3" borderId="0" xfId="0" applyFont="1" applyFill="1" applyAlignment="1">
      <alignment horizontal="left" vertical="top" wrapText="1"/>
    </xf>
    <xf numFmtId="0" fontId="8" fillId="3" borderId="1" xfId="0" applyFont="1" applyFill="1" applyBorder="1" applyAlignment="1">
      <alignment horizontal="left"/>
    </xf>
    <xf numFmtId="0" fontId="7" fillId="3" borderId="3" xfId="0" applyFont="1" applyFill="1" applyBorder="1" applyAlignment="1">
      <alignment horizontal="center"/>
    </xf>
    <xf numFmtId="0" fontId="12" fillId="3" borderId="0" xfId="0" applyFont="1" applyFill="1" applyAlignment="1">
      <alignment horizontal="left" wrapText="1"/>
    </xf>
    <xf numFmtId="0" fontId="12" fillId="3" borderId="0" xfId="0" applyFont="1" applyFill="1" applyAlignment="1">
      <alignment horizontal="left" vertical="top" wrapText="1"/>
    </xf>
    <xf numFmtId="0" fontId="7" fillId="3" borderId="2" xfId="0" applyFont="1" applyFill="1" applyBorder="1" applyAlignment="1">
      <alignment horizontal="center" wrapText="1"/>
    </xf>
    <xf numFmtId="0" fontId="7" fillId="3" borderId="32" xfId="0" applyFont="1" applyFill="1" applyBorder="1" applyAlignment="1">
      <alignment horizontal="center" wrapText="1"/>
    </xf>
    <xf numFmtId="0" fontId="9" fillId="3" borderId="25" xfId="0" applyFont="1" applyFill="1" applyBorder="1" applyAlignment="1">
      <alignment horizontal="center"/>
    </xf>
    <xf numFmtId="0" fontId="9" fillId="3" borderId="2" xfId="0" applyFont="1" applyFill="1" applyBorder="1" applyAlignment="1">
      <alignment horizontal="center" vertical="top" wrapText="1"/>
    </xf>
    <xf numFmtId="0" fontId="9" fillId="3" borderId="36" xfId="0" applyFont="1" applyFill="1" applyBorder="1" applyAlignment="1">
      <alignment horizontal="center" vertical="top" wrapText="1"/>
    </xf>
    <xf numFmtId="0" fontId="8" fillId="3" borderId="36" xfId="0" applyFont="1" applyFill="1" applyBorder="1" applyAlignment="1">
      <alignment horizontal="left" vertical="top" wrapText="1"/>
    </xf>
    <xf numFmtId="0" fontId="8" fillId="2" borderId="1" xfId="0" applyFont="1" applyFill="1" applyBorder="1" applyAlignment="1">
      <alignment horizontal="left" wrapText="1"/>
    </xf>
    <xf numFmtId="0" fontId="9" fillId="3" borderId="3" xfId="0" applyFont="1" applyFill="1" applyBorder="1" applyAlignment="1">
      <alignment horizontal="center"/>
    </xf>
    <xf numFmtId="0" fontId="9" fillId="3" borderId="32" xfId="0" applyFont="1" applyFill="1" applyBorder="1" applyAlignment="1">
      <alignment horizontal="center" vertical="top" wrapText="1"/>
    </xf>
    <xf numFmtId="0" fontId="8" fillId="2" borderId="32" xfId="0" applyFont="1" applyFill="1" applyBorder="1" applyAlignment="1">
      <alignment horizontal="left" vertical="top" wrapText="1"/>
    </xf>
    <xf numFmtId="0" fontId="33" fillId="3" borderId="0" xfId="0" applyFont="1" applyFill="1" applyAlignment="1">
      <alignment horizontal="left" vertical="top" wrapText="1"/>
    </xf>
    <xf numFmtId="0" fontId="33" fillId="3" borderId="0" xfId="0" applyFont="1" applyFill="1" applyAlignment="1">
      <alignment horizontal="left" vertical="top"/>
    </xf>
    <xf numFmtId="0" fontId="4" fillId="2" borderId="0" xfId="0" applyFont="1" applyFill="1" applyAlignment="1">
      <alignment horizontal="left" vertical="top" wrapText="1"/>
    </xf>
    <xf numFmtId="0" fontId="4" fillId="2" borderId="0" xfId="0" applyFont="1" applyFill="1" applyAlignment="1">
      <alignment horizontal="left" wrapText="1"/>
    </xf>
    <xf numFmtId="0" fontId="36" fillId="3" borderId="38" xfId="0" applyFont="1" applyFill="1" applyBorder="1" applyAlignment="1">
      <alignment horizontal="left" vertical="top" wrapText="1"/>
    </xf>
    <xf numFmtId="0" fontId="8" fillId="3" borderId="1" xfId="0" applyFont="1" applyFill="1" applyBorder="1" applyAlignment="1">
      <alignment horizontal="left" wrapText="1"/>
    </xf>
    <xf numFmtId="0" fontId="50" fillId="3" borderId="2" xfId="0" applyFont="1" applyFill="1" applyBorder="1" applyAlignment="1">
      <alignment horizontal="right" vertical="top" wrapText="1"/>
    </xf>
    <xf numFmtId="0" fontId="50" fillId="3" borderId="17" xfId="0" applyFont="1" applyFill="1" applyBorder="1" applyAlignment="1">
      <alignment horizontal="right" vertical="top" wrapText="1"/>
    </xf>
    <xf numFmtId="0" fontId="8" fillId="3" borderId="17" xfId="0" applyFont="1" applyFill="1" applyBorder="1" applyAlignment="1">
      <alignment horizontal="left" vertical="top" wrapText="1"/>
    </xf>
    <xf numFmtId="0" fontId="9" fillId="3" borderId="17" xfId="0" applyFont="1" applyFill="1" applyBorder="1" applyAlignment="1">
      <alignment horizontal="center" vertical="top" wrapText="1"/>
    </xf>
    <xf numFmtId="0" fontId="5" fillId="3" borderId="2" xfId="0" applyFont="1" applyFill="1" applyBorder="1" applyAlignment="1">
      <alignment horizontal="center" vertical="top" wrapText="1"/>
    </xf>
    <xf numFmtId="0" fontId="5" fillId="3" borderId="23" xfId="0" applyFont="1" applyFill="1" applyBorder="1" applyAlignment="1">
      <alignment horizontal="center" vertical="top" wrapText="1"/>
    </xf>
    <xf numFmtId="0" fontId="9" fillId="3" borderId="23" xfId="0" applyFont="1" applyFill="1" applyBorder="1" applyAlignment="1">
      <alignment horizontal="center" vertical="top" wrapText="1"/>
    </xf>
    <xf numFmtId="0" fontId="9" fillId="3" borderId="24" xfId="0" applyFont="1" applyFill="1" applyBorder="1" applyAlignment="1">
      <alignment horizontal="center" vertical="top" wrapText="1"/>
    </xf>
    <xf numFmtId="0" fontId="9" fillId="3" borderId="2" xfId="0" applyFont="1" applyFill="1" applyBorder="1" applyAlignment="1">
      <alignment horizontal="right" vertical="top" wrapText="1"/>
    </xf>
    <xf numFmtId="0" fontId="9" fillId="3" borderId="23" xfId="0" applyFont="1" applyFill="1" applyBorder="1" applyAlignment="1">
      <alignment horizontal="right" vertical="top" wrapText="1"/>
    </xf>
    <xf numFmtId="0" fontId="2" fillId="2" borderId="1" xfId="0" applyFont="1" applyFill="1" applyBorder="1" applyAlignment="1">
      <alignment horizontal="left" wrapText="1"/>
    </xf>
  </cellXfs>
  <cellStyles count="20">
    <cellStyle name="Currency 2" xfId="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Normal" xfId="0" builtinId="0"/>
    <cellStyle name="Percent" xfId="2" builtinId="5"/>
    <cellStyle name="Percent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2:Q38"/>
  <sheetViews>
    <sheetView topLeftCell="A10" workbookViewId="0">
      <selection activeCell="C21" sqref="C21:K21"/>
    </sheetView>
  </sheetViews>
  <sheetFormatPr defaultColWidth="9.140625" defaultRowHeight="15"/>
  <cols>
    <col min="1" max="2" width="9.140625" style="35"/>
    <col min="3" max="3" width="21.42578125" style="35" customWidth="1"/>
    <col min="4" max="10" width="9.140625" style="35"/>
    <col min="11" max="11" width="14.42578125" style="35" customWidth="1"/>
    <col min="12" max="12" width="9.140625" style="35"/>
    <col min="13" max="13" width="4.85546875" style="35" customWidth="1"/>
    <col min="14" max="14" width="14.7109375" style="35" customWidth="1"/>
    <col min="15" max="16384" width="9.140625" style="35"/>
  </cols>
  <sheetData>
    <row r="2" spans="2:17" ht="21" customHeight="1">
      <c r="B2" s="426" t="s">
        <v>290</v>
      </c>
      <c r="C2" s="426"/>
      <c r="D2" s="426"/>
      <c r="E2" s="426"/>
      <c r="F2" s="426"/>
      <c r="G2" s="426"/>
      <c r="H2" s="426"/>
      <c r="I2" s="426"/>
      <c r="J2" s="426"/>
      <c r="K2" s="426"/>
      <c r="L2" s="426"/>
    </row>
    <row r="3" spans="2:17" ht="15.75">
      <c r="B3" s="352"/>
    </row>
    <row r="4" spans="2:17">
      <c r="B4" s="9" t="s">
        <v>68</v>
      </c>
      <c r="C4" s="3"/>
      <c r="D4" s="3"/>
      <c r="E4" s="3"/>
      <c r="F4" s="3"/>
      <c r="G4" s="3"/>
      <c r="H4" s="3"/>
      <c r="I4" s="3"/>
      <c r="J4" s="3"/>
    </row>
    <row r="5" spans="2:17" ht="15" customHeight="1">
      <c r="B5" s="73" t="s">
        <v>51</v>
      </c>
      <c r="C5" s="427" t="s">
        <v>173</v>
      </c>
      <c r="D5" s="427"/>
      <c r="E5" s="427"/>
      <c r="F5" s="427"/>
      <c r="G5" s="427"/>
      <c r="H5" s="427"/>
      <c r="I5" s="427"/>
      <c r="J5" s="427"/>
      <c r="K5" s="427"/>
    </row>
    <row r="6" spans="2:17">
      <c r="B6" s="3"/>
      <c r="C6" s="427"/>
      <c r="D6" s="427"/>
      <c r="E6" s="427"/>
      <c r="F6" s="427"/>
      <c r="G6" s="427"/>
      <c r="H6" s="427"/>
      <c r="I6" s="427"/>
      <c r="J6" s="427"/>
      <c r="K6" s="427"/>
    </row>
    <row r="7" spans="2:17">
      <c r="B7" s="73" t="s">
        <v>52</v>
      </c>
      <c r="C7" s="3" t="s">
        <v>69</v>
      </c>
      <c r="D7" s="3"/>
      <c r="E7" s="3"/>
      <c r="F7" s="3"/>
      <c r="G7" s="3"/>
      <c r="H7" s="3"/>
      <c r="I7" s="3"/>
      <c r="J7" s="3"/>
    </row>
    <row r="8" spans="2:17" ht="46.9" customHeight="1">
      <c r="B8" s="340" t="s">
        <v>53</v>
      </c>
      <c r="C8" s="428" t="s">
        <v>291</v>
      </c>
      <c r="D8" s="428"/>
      <c r="E8" s="428"/>
      <c r="F8" s="428"/>
      <c r="G8" s="428"/>
      <c r="H8" s="428"/>
      <c r="I8" s="428"/>
      <c r="J8" s="428"/>
      <c r="K8" s="428"/>
    </row>
    <row r="9" spans="2:17" ht="15" customHeight="1">
      <c r="B9" s="340" t="s">
        <v>54</v>
      </c>
      <c r="C9" s="428" t="s">
        <v>314</v>
      </c>
      <c r="D9" s="428"/>
      <c r="E9" s="428"/>
      <c r="F9" s="428"/>
      <c r="G9" s="428"/>
      <c r="H9" s="428"/>
      <c r="I9" s="428"/>
      <c r="J9" s="428"/>
      <c r="K9" s="428"/>
    </row>
    <row r="10" spans="2:17">
      <c r="C10" s="428"/>
      <c r="D10" s="428"/>
      <c r="E10" s="428"/>
      <c r="F10" s="428"/>
      <c r="G10" s="428"/>
      <c r="H10" s="428"/>
      <c r="I10" s="428"/>
      <c r="J10" s="428"/>
      <c r="K10" s="428"/>
    </row>
    <row r="11" spans="2:17">
      <c r="C11" s="428"/>
      <c r="D11" s="428"/>
      <c r="E11" s="428"/>
      <c r="F11" s="428"/>
      <c r="G11" s="428"/>
      <c r="H11" s="428"/>
      <c r="I11" s="428"/>
      <c r="J11" s="428"/>
      <c r="K11" s="428"/>
    </row>
    <row r="13" spans="2:17">
      <c r="B13" s="74" t="s">
        <v>70</v>
      </c>
      <c r="O13" s="39"/>
      <c r="P13" s="39"/>
    </row>
    <row r="14" spans="2:17" ht="33" customHeight="1">
      <c r="B14" s="180" t="s">
        <v>51</v>
      </c>
      <c r="C14" s="427" t="s">
        <v>400</v>
      </c>
      <c r="D14" s="427"/>
      <c r="E14" s="427"/>
      <c r="F14" s="427"/>
      <c r="G14" s="427"/>
      <c r="H14" s="427"/>
      <c r="I14" s="427"/>
      <c r="J14" s="427"/>
      <c r="K14" s="427"/>
      <c r="O14" s="40"/>
      <c r="P14" s="40"/>
      <c r="Q14" s="40"/>
    </row>
    <row r="15" spans="2:17" ht="44.25" customHeight="1">
      <c r="B15" s="180" t="s">
        <v>52</v>
      </c>
      <c r="C15" s="428" t="s">
        <v>352</v>
      </c>
      <c r="D15" s="428"/>
      <c r="E15" s="428"/>
      <c r="F15" s="428"/>
      <c r="G15" s="428"/>
      <c r="H15" s="428"/>
      <c r="I15" s="428"/>
      <c r="J15" s="428"/>
      <c r="K15" s="428"/>
      <c r="O15" s="40"/>
      <c r="P15" s="40"/>
      <c r="Q15" s="40"/>
    </row>
    <row r="16" spans="2:17" ht="31.5" customHeight="1">
      <c r="B16" s="180" t="s">
        <v>53</v>
      </c>
      <c r="C16" s="428" t="s">
        <v>151</v>
      </c>
      <c r="D16" s="428"/>
      <c r="E16" s="428"/>
      <c r="F16" s="428"/>
      <c r="G16" s="428"/>
      <c r="H16" s="428"/>
      <c r="I16" s="428"/>
      <c r="J16" s="428"/>
      <c r="K16" s="428"/>
      <c r="O16" s="40"/>
      <c r="P16" s="40"/>
      <c r="Q16" s="40"/>
    </row>
    <row r="17" spans="1:17" ht="30.75" customHeight="1">
      <c r="B17" s="180" t="s">
        <v>54</v>
      </c>
      <c r="C17" s="428" t="s">
        <v>316</v>
      </c>
      <c r="D17" s="428"/>
      <c r="E17" s="428"/>
      <c r="F17" s="428"/>
      <c r="G17" s="428"/>
      <c r="H17" s="428"/>
      <c r="I17" s="428"/>
      <c r="J17" s="428"/>
      <c r="K17" s="428"/>
      <c r="O17" s="40"/>
      <c r="P17" s="40"/>
      <c r="Q17" s="40"/>
    </row>
    <row r="18" spans="1:17" ht="16.5" customHeight="1">
      <c r="B18" s="180" t="s">
        <v>56</v>
      </c>
      <c r="C18" s="428" t="s">
        <v>150</v>
      </c>
      <c r="D18" s="428"/>
      <c r="E18" s="428"/>
      <c r="F18" s="428"/>
      <c r="G18" s="428"/>
      <c r="H18" s="428"/>
      <c r="I18" s="428"/>
      <c r="J18" s="428"/>
      <c r="K18" s="428"/>
      <c r="O18" s="40"/>
      <c r="P18" s="40"/>
      <c r="Q18" s="40"/>
    </row>
    <row r="19" spans="1:17">
      <c r="B19" s="365" t="s">
        <v>61</v>
      </c>
      <c r="C19" s="428" t="s">
        <v>365</v>
      </c>
      <c r="D19" s="428"/>
      <c r="E19" s="428"/>
      <c r="F19" s="428"/>
      <c r="G19" s="428"/>
      <c r="H19" s="428"/>
      <c r="I19" s="428"/>
      <c r="J19" s="428"/>
      <c r="L19" s="78"/>
      <c r="O19" s="40"/>
      <c r="P19" s="40"/>
      <c r="Q19" s="40"/>
    </row>
    <row r="20" spans="1:17" ht="16.5" customHeight="1">
      <c r="B20" s="365" t="s">
        <v>84</v>
      </c>
      <c r="C20" s="428" t="s">
        <v>401</v>
      </c>
      <c r="D20" s="428"/>
      <c r="E20" s="428"/>
      <c r="F20" s="428"/>
      <c r="G20" s="428"/>
      <c r="H20" s="428"/>
      <c r="I20" s="428"/>
      <c r="J20" s="428"/>
      <c r="K20" s="428"/>
      <c r="O20" s="40"/>
      <c r="P20" s="40"/>
      <c r="Q20" s="40"/>
    </row>
    <row r="21" spans="1:17" ht="45.75" customHeight="1">
      <c r="B21" s="365" t="s">
        <v>112</v>
      </c>
      <c r="C21" s="428" t="s">
        <v>391</v>
      </c>
      <c r="D21" s="428"/>
      <c r="E21" s="428"/>
      <c r="F21" s="428"/>
      <c r="G21" s="428"/>
      <c r="H21" s="428"/>
      <c r="I21" s="428"/>
      <c r="J21" s="428"/>
      <c r="K21" s="428"/>
      <c r="L21" s="78"/>
      <c r="O21" s="40"/>
      <c r="P21" s="40"/>
      <c r="Q21" s="40"/>
    </row>
    <row r="22" spans="1:17" ht="15" customHeight="1">
      <c r="B22" s="429" t="s">
        <v>147</v>
      </c>
      <c r="C22" s="428" t="s">
        <v>126</v>
      </c>
      <c r="D22" s="428"/>
      <c r="E22" s="428"/>
      <c r="F22" s="428"/>
      <c r="G22" s="428"/>
      <c r="H22" s="428"/>
      <c r="I22" s="428"/>
      <c r="J22" s="428"/>
      <c r="K22" s="428"/>
      <c r="O22" s="40"/>
      <c r="P22" s="40"/>
      <c r="Q22" s="40"/>
    </row>
    <row r="23" spans="1:17">
      <c r="B23" s="429"/>
      <c r="C23" s="428"/>
      <c r="D23" s="428"/>
      <c r="E23" s="428"/>
      <c r="F23" s="428"/>
      <c r="G23" s="428"/>
      <c r="H23" s="428"/>
      <c r="I23" s="428"/>
      <c r="J23" s="428"/>
      <c r="K23" s="428"/>
      <c r="O23" s="40"/>
      <c r="P23" s="40"/>
      <c r="Q23" s="40"/>
    </row>
    <row r="24" spans="1:17">
      <c r="B24" s="429"/>
      <c r="C24" s="428"/>
      <c r="D24" s="428"/>
      <c r="E24" s="428"/>
      <c r="F24" s="428"/>
      <c r="G24" s="428"/>
      <c r="H24" s="428"/>
      <c r="I24" s="428"/>
      <c r="J24" s="428"/>
      <c r="K24" s="428"/>
      <c r="O24" s="40"/>
      <c r="P24" s="40"/>
      <c r="Q24" s="40"/>
    </row>
    <row r="25" spans="1:17" ht="17.25" customHeight="1">
      <c r="B25" s="365" t="s">
        <v>353</v>
      </c>
      <c r="C25" s="346" t="s">
        <v>313</v>
      </c>
      <c r="D25" s="3"/>
      <c r="E25" s="3"/>
      <c r="F25" s="3"/>
      <c r="G25" s="3"/>
      <c r="H25" s="3"/>
      <c r="I25" s="3"/>
      <c r="J25" s="3"/>
      <c r="O25" s="40"/>
      <c r="P25" s="40"/>
      <c r="Q25" s="40"/>
    </row>
    <row r="26" spans="1:17">
      <c r="B26" s="180"/>
      <c r="C26" s="3"/>
      <c r="D26" s="3"/>
      <c r="E26" s="3"/>
      <c r="F26" s="3"/>
      <c r="G26" s="3"/>
      <c r="H26" s="3"/>
      <c r="I26" s="3"/>
      <c r="J26" s="3"/>
      <c r="O26" s="40"/>
      <c r="P26" s="40"/>
      <c r="Q26" s="40"/>
    </row>
    <row r="27" spans="1:17" ht="18.75">
      <c r="C27" s="430" t="s">
        <v>292</v>
      </c>
      <c r="D27" s="430"/>
      <c r="E27" s="430"/>
      <c r="F27" s="430"/>
      <c r="G27" s="430"/>
      <c r="H27" s="430"/>
      <c r="I27" s="430"/>
      <c r="J27" s="430"/>
      <c r="K27" s="321"/>
      <c r="O27" s="40"/>
      <c r="P27" s="40"/>
      <c r="Q27" s="40"/>
    </row>
    <row r="28" spans="1:17" ht="15" customHeight="1">
      <c r="A28" s="41"/>
      <c r="C28" s="318" t="s">
        <v>50</v>
      </c>
      <c r="D28" s="319" t="s">
        <v>184</v>
      </c>
      <c r="E28" s="320"/>
      <c r="F28" s="320"/>
      <c r="G28" s="320"/>
      <c r="H28" s="320"/>
      <c r="I28" s="320"/>
      <c r="J28" s="320"/>
      <c r="O28" s="40"/>
      <c r="P28" s="40"/>
      <c r="Q28" s="40"/>
    </row>
    <row r="29" spans="1:17" ht="15" customHeight="1">
      <c r="C29" s="105" t="s">
        <v>359</v>
      </c>
      <c r="D29" s="290" t="s">
        <v>293</v>
      </c>
      <c r="E29" s="195"/>
      <c r="F29" s="195"/>
      <c r="G29" s="195"/>
      <c r="H29" s="195"/>
      <c r="I29" s="195"/>
      <c r="J29" s="195"/>
      <c r="O29" s="40"/>
      <c r="P29" s="40"/>
      <c r="Q29" s="40"/>
    </row>
    <row r="30" spans="1:17" ht="15" customHeight="1">
      <c r="C30" s="105" t="s">
        <v>360</v>
      </c>
      <c r="D30" s="290" t="s">
        <v>294</v>
      </c>
      <c r="E30" s="195"/>
      <c r="F30" s="195"/>
      <c r="G30" s="195"/>
      <c r="H30" s="195"/>
      <c r="I30" s="195"/>
      <c r="J30" s="195"/>
      <c r="N30" s="40"/>
      <c r="O30" s="40"/>
      <c r="P30" s="40"/>
      <c r="Q30" s="40"/>
    </row>
    <row r="31" spans="1:17" ht="15" customHeight="1">
      <c r="C31" s="105" t="s">
        <v>361</v>
      </c>
      <c r="D31" s="290" t="s">
        <v>295</v>
      </c>
      <c r="E31" s="195"/>
      <c r="F31" s="195"/>
      <c r="G31" s="195"/>
      <c r="H31" s="195"/>
      <c r="I31" s="195"/>
      <c r="J31" s="195"/>
    </row>
    <row r="32" spans="1:17" ht="15" customHeight="1">
      <c r="C32" s="105" t="s">
        <v>362</v>
      </c>
      <c r="D32" s="290" t="s">
        <v>296</v>
      </c>
      <c r="E32" s="195"/>
      <c r="F32" s="195"/>
      <c r="G32" s="195"/>
      <c r="H32" s="195"/>
      <c r="I32" s="195"/>
      <c r="J32" s="195"/>
    </row>
    <row r="33" spans="3:17" ht="32.25" customHeight="1">
      <c r="C33" s="366" t="s">
        <v>405</v>
      </c>
      <c r="D33" s="425" t="s">
        <v>406</v>
      </c>
      <c r="E33" s="425"/>
      <c r="F33" s="425"/>
      <c r="G33" s="425"/>
      <c r="H33" s="425"/>
      <c r="I33" s="425"/>
      <c r="J33" s="425"/>
      <c r="K33" s="425"/>
    </row>
    <row r="34" spans="3:17" ht="15" customHeight="1">
      <c r="C34" s="105" t="s">
        <v>363</v>
      </c>
      <c r="D34" s="290" t="s">
        <v>166</v>
      </c>
      <c r="E34" s="196"/>
      <c r="F34" s="196"/>
      <c r="G34" s="196"/>
      <c r="H34" s="196"/>
      <c r="I34" s="196"/>
      <c r="J34" s="196"/>
    </row>
    <row r="35" spans="3:17" ht="15" customHeight="1">
      <c r="C35" s="105" t="s">
        <v>364</v>
      </c>
      <c r="D35" s="290" t="s">
        <v>297</v>
      </c>
      <c r="E35" s="196"/>
      <c r="F35" s="196"/>
      <c r="G35" s="196"/>
      <c r="H35" s="196"/>
      <c r="I35" s="196"/>
      <c r="J35" s="196"/>
    </row>
    <row r="36" spans="3:17" ht="15" customHeight="1">
      <c r="C36" s="207" t="s">
        <v>5</v>
      </c>
      <c r="D36" s="291" t="s">
        <v>298</v>
      </c>
      <c r="E36" s="197"/>
      <c r="F36" s="197"/>
      <c r="G36" s="197"/>
      <c r="H36" s="197"/>
      <c r="I36" s="197"/>
      <c r="J36" s="197"/>
      <c r="K36" s="321"/>
    </row>
    <row r="37" spans="3:17" ht="8.1" customHeight="1">
      <c r="C37" s="3"/>
      <c r="D37" s="3"/>
      <c r="E37" s="3"/>
      <c r="F37" s="3"/>
      <c r="G37" s="3"/>
      <c r="H37" s="3"/>
      <c r="I37" s="3"/>
      <c r="J37" s="3"/>
      <c r="O37" s="40"/>
      <c r="P37" s="40"/>
      <c r="Q37" s="40"/>
    </row>
    <row r="38" spans="3:17">
      <c r="C38" s="103"/>
      <c r="D38" s="103"/>
      <c r="E38" s="103"/>
      <c r="F38" s="103"/>
      <c r="G38" s="103"/>
      <c r="H38" s="103"/>
      <c r="I38" s="103"/>
      <c r="J38" s="103"/>
      <c r="K38" s="103"/>
    </row>
  </sheetData>
  <mergeCells count="16">
    <mergeCell ref="D33:K33"/>
    <mergeCell ref="B2:L2"/>
    <mergeCell ref="C5:K6"/>
    <mergeCell ref="C16:K16"/>
    <mergeCell ref="C15:K15"/>
    <mergeCell ref="C17:K17"/>
    <mergeCell ref="C8:K8"/>
    <mergeCell ref="C9:K11"/>
    <mergeCell ref="B22:B24"/>
    <mergeCell ref="C22:K24"/>
    <mergeCell ref="C27:J27"/>
    <mergeCell ref="C14:K14"/>
    <mergeCell ref="C18:K18"/>
    <mergeCell ref="C21:K21"/>
    <mergeCell ref="C20:K20"/>
    <mergeCell ref="C19:J19"/>
  </mergeCells>
  <phoneticPr fontId="21" type="noConversion"/>
  <pageMargins left="0.7" right="0.7" top="0.75" bottom="0.75" header="0.3" footer="0.3"/>
  <pageSetup scale="72" orientation="portrait"/>
  <ignoredErrors>
    <ignoredError sqref="B5:B9 B12:B18 B23:B24 B19:B22 B25" numberStoredAsText="1"/>
  </ignoredErrors>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dimension ref="B2:L29"/>
  <sheetViews>
    <sheetView workbookViewId="0"/>
  </sheetViews>
  <sheetFormatPr defaultColWidth="23.140625" defaultRowHeight="15.75"/>
  <cols>
    <col min="1" max="1" width="9.140625" style="179" customWidth="1"/>
    <col min="2" max="2" width="31.28515625" style="46" customWidth="1"/>
    <col min="3" max="3" width="16.42578125" style="46" customWidth="1"/>
    <col min="4" max="4" width="14.42578125" style="46" customWidth="1"/>
    <col min="5" max="5" width="14.7109375" style="46" customWidth="1"/>
    <col min="6" max="6" width="12.42578125" style="46" customWidth="1"/>
    <col min="7" max="7" width="17.140625" style="46" customWidth="1"/>
    <col min="8" max="8" width="14.42578125" style="46" customWidth="1"/>
    <col min="9" max="9" width="4.42578125" style="84" customWidth="1"/>
    <col min="10" max="10" width="20.85546875" style="179" customWidth="1"/>
    <col min="11" max="250" width="9.140625" style="179" customWidth="1"/>
    <col min="251" max="251" width="25" style="179" customWidth="1"/>
    <col min="252" max="16384" width="23.140625" style="179"/>
  </cols>
  <sheetData>
    <row r="2" spans="2:12" ht="26.25" customHeight="1">
      <c r="B2" s="454" t="s">
        <v>183</v>
      </c>
      <c r="C2" s="454"/>
      <c r="D2" s="454"/>
      <c r="E2" s="454"/>
      <c r="F2" s="454"/>
      <c r="G2" s="454"/>
      <c r="H2" s="304"/>
    </row>
    <row r="3" spans="2:12" ht="23.25" customHeight="1">
      <c r="B3" s="439" t="s">
        <v>161</v>
      </c>
      <c r="C3" s="456" t="s">
        <v>258</v>
      </c>
      <c r="D3" s="439" t="s">
        <v>259</v>
      </c>
      <c r="E3" s="459" t="s">
        <v>162</v>
      </c>
      <c r="F3" s="459"/>
      <c r="G3" s="460" t="s">
        <v>262</v>
      </c>
      <c r="H3" s="452" t="s">
        <v>165</v>
      </c>
      <c r="L3" s="175"/>
    </row>
    <row r="4" spans="2:12" ht="51.75" customHeight="1">
      <c r="B4" s="455"/>
      <c r="C4" s="457"/>
      <c r="D4" s="458"/>
      <c r="E4" s="334" t="s">
        <v>260</v>
      </c>
      <c r="F4" s="335" t="s">
        <v>261</v>
      </c>
      <c r="G4" s="461"/>
      <c r="H4" s="453"/>
    </row>
    <row r="5" spans="2:12">
      <c r="B5" s="93" t="s">
        <v>239</v>
      </c>
      <c r="C5" s="279">
        <f>'Mach. Equip. &amp; Build. Req.'!E4</f>
        <v>135000</v>
      </c>
      <c r="D5" s="280">
        <v>30</v>
      </c>
      <c r="E5" s="281">
        <v>0</v>
      </c>
      <c r="F5" s="282">
        <f>E5*C5</f>
        <v>0</v>
      </c>
      <c r="G5" s="313">
        <f t="shared" ref="G5:G19" si="0">(C5-F5)/D5</f>
        <v>4500</v>
      </c>
      <c r="H5" s="178"/>
      <c r="J5" s="337" t="s">
        <v>182</v>
      </c>
      <c r="K5" s="305">
        <f>'App5. Data for tables'!$H$67</f>
        <v>100</v>
      </c>
    </row>
    <row r="6" spans="2:12" ht="18">
      <c r="B6" s="93" t="s">
        <v>263</v>
      </c>
      <c r="C6" s="282">
        <f>'Mach. Equip. &amp; Build. Req.'!E5</f>
        <v>50000</v>
      </c>
      <c r="D6" s="280">
        <v>30</v>
      </c>
      <c r="E6" s="281">
        <v>0</v>
      </c>
      <c r="F6" s="282">
        <f t="shared" ref="F6:F19" si="1">E6*C6</f>
        <v>0</v>
      </c>
      <c r="G6" s="313">
        <f t="shared" si="0"/>
        <v>1666.6666666666667</v>
      </c>
      <c r="H6" s="105"/>
    </row>
    <row r="7" spans="2:12">
      <c r="B7" s="93" t="s">
        <v>65</v>
      </c>
      <c r="C7" s="282">
        <f>'Mach. Equip. &amp; Build. Req.'!E6</f>
        <v>32500</v>
      </c>
      <c r="D7" s="280">
        <v>10</v>
      </c>
      <c r="E7" s="281">
        <v>0.1</v>
      </c>
      <c r="F7" s="282">
        <f t="shared" si="1"/>
        <v>3250</v>
      </c>
      <c r="G7" s="313">
        <f t="shared" si="0"/>
        <v>2925</v>
      </c>
      <c r="H7" s="105"/>
    </row>
    <row r="8" spans="2:12">
      <c r="B8" s="93" t="s">
        <v>66</v>
      </c>
      <c r="C8" s="282">
        <f>'Mach. Equip. &amp; Build. Req.'!E7</f>
        <v>25000</v>
      </c>
      <c r="D8" s="280">
        <v>10</v>
      </c>
      <c r="E8" s="281">
        <v>0.1</v>
      </c>
      <c r="F8" s="282">
        <f t="shared" si="1"/>
        <v>2500</v>
      </c>
      <c r="G8" s="313">
        <f t="shared" si="0"/>
        <v>2250</v>
      </c>
      <c r="H8" s="105"/>
    </row>
    <row r="9" spans="2:12">
      <c r="B9" s="93" t="s">
        <v>240</v>
      </c>
      <c r="C9" s="282">
        <f>'Mach. Equip. &amp; Build. Req.'!E8</f>
        <v>15000</v>
      </c>
      <c r="D9" s="280">
        <v>5</v>
      </c>
      <c r="E9" s="281">
        <v>0.1</v>
      </c>
      <c r="F9" s="282">
        <f t="shared" si="1"/>
        <v>1500</v>
      </c>
      <c r="G9" s="313">
        <f t="shared" si="0"/>
        <v>2700</v>
      </c>
      <c r="H9" s="105"/>
    </row>
    <row r="10" spans="2:12">
      <c r="B10" s="93" t="s">
        <v>241</v>
      </c>
      <c r="C10" s="282">
        <f>'Mach. Equip. &amp; Build. Req.'!E9</f>
        <v>20000</v>
      </c>
      <c r="D10" s="280">
        <v>10</v>
      </c>
      <c r="E10" s="281">
        <v>0.1</v>
      </c>
      <c r="F10" s="282">
        <f t="shared" si="1"/>
        <v>2000</v>
      </c>
      <c r="G10" s="313">
        <f t="shared" si="0"/>
        <v>1800</v>
      </c>
      <c r="H10" s="105"/>
    </row>
    <row r="11" spans="2:12">
      <c r="B11" s="93" t="s">
        <v>242</v>
      </c>
      <c r="C11" s="282">
        <f>'Mach. Equip. &amp; Build. Req.'!E10</f>
        <v>7000</v>
      </c>
      <c r="D11" s="280">
        <v>10</v>
      </c>
      <c r="E11" s="281">
        <v>0.1</v>
      </c>
      <c r="F11" s="282">
        <f t="shared" si="1"/>
        <v>700</v>
      </c>
      <c r="G11" s="313">
        <f t="shared" si="0"/>
        <v>630</v>
      </c>
      <c r="H11" s="105"/>
    </row>
    <row r="12" spans="2:12">
      <c r="B12" s="93" t="s">
        <v>243</v>
      </c>
      <c r="C12" s="282">
        <f>'Mach. Equip. &amp; Build. Req.'!E11</f>
        <v>5000</v>
      </c>
      <c r="D12" s="280">
        <v>10</v>
      </c>
      <c r="E12" s="281">
        <v>0.1</v>
      </c>
      <c r="F12" s="282">
        <f t="shared" si="1"/>
        <v>500</v>
      </c>
      <c r="G12" s="313">
        <f t="shared" si="0"/>
        <v>450</v>
      </c>
      <c r="H12" s="105"/>
    </row>
    <row r="13" spans="2:12">
      <c r="B13" s="93" t="s">
        <v>244</v>
      </c>
      <c r="C13" s="282">
        <f>'Mach. Equip. &amp; Build. Req.'!E12</f>
        <v>8000</v>
      </c>
      <c r="D13" s="280">
        <v>10</v>
      </c>
      <c r="E13" s="281">
        <v>0.1</v>
      </c>
      <c r="F13" s="282">
        <f t="shared" si="1"/>
        <v>800</v>
      </c>
      <c r="G13" s="313">
        <f t="shared" si="0"/>
        <v>720</v>
      </c>
      <c r="H13" s="105"/>
    </row>
    <row r="14" spans="2:12">
      <c r="B14" s="93" t="s">
        <v>245</v>
      </c>
      <c r="C14" s="282">
        <f>'Mach. Equip. &amp; Build. Req.'!E13</f>
        <v>25000</v>
      </c>
      <c r="D14" s="280">
        <v>10</v>
      </c>
      <c r="E14" s="281">
        <v>0.1</v>
      </c>
      <c r="F14" s="282">
        <f t="shared" si="1"/>
        <v>2500</v>
      </c>
      <c r="G14" s="313">
        <f t="shared" si="0"/>
        <v>2250</v>
      </c>
      <c r="H14" s="105"/>
    </row>
    <row r="15" spans="2:12">
      <c r="B15" s="164" t="s">
        <v>246</v>
      </c>
      <c r="C15" s="282">
        <f>'Mach. Equip. &amp; Build. Req.'!E14</f>
        <v>7500</v>
      </c>
      <c r="D15" s="280">
        <v>10</v>
      </c>
      <c r="E15" s="281">
        <v>0.1</v>
      </c>
      <c r="F15" s="282">
        <f t="shared" si="1"/>
        <v>750</v>
      </c>
      <c r="G15" s="313">
        <f t="shared" si="0"/>
        <v>675</v>
      </c>
      <c r="H15" s="105"/>
    </row>
    <row r="16" spans="2:12">
      <c r="B16" s="164" t="s">
        <v>247</v>
      </c>
      <c r="C16" s="282">
        <f>'Mach. Equip. &amp; Build. Req.'!E15</f>
        <v>20000</v>
      </c>
      <c r="D16" s="280">
        <v>10</v>
      </c>
      <c r="E16" s="281">
        <v>0.1</v>
      </c>
      <c r="F16" s="282">
        <f t="shared" si="1"/>
        <v>2000</v>
      </c>
      <c r="G16" s="313">
        <f t="shared" si="0"/>
        <v>1800</v>
      </c>
      <c r="H16" s="105"/>
    </row>
    <row r="17" spans="2:9">
      <c r="B17" s="164" t="s">
        <v>74</v>
      </c>
      <c r="C17" s="282">
        <f>'Mach. Equip. &amp; Build. Req.'!E16</f>
        <v>5000</v>
      </c>
      <c r="D17" s="280">
        <v>10</v>
      </c>
      <c r="E17" s="281">
        <v>0.1</v>
      </c>
      <c r="F17" s="282">
        <f t="shared" si="1"/>
        <v>500</v>
      </c>
      <c r="G17" s="313">
        <f t="shared" si="0"/>
        <v>450</v>
      </c>
      <c r="H17" s="105"/>
    </row>
    <row r="18" spans="2:9" ht="18">
      <c r="B18" s="164" t="s">
        <v>264</v>
      </c>
      <c r="C18" s="282">
        <f>'Mach. Equip. &amp; Build. Req.'!E17</f>
        <v>20000</v>
      </c>
      <c r="D18" s="280">
        <v>10</v>
      </c>
      <c r="E18" s="281">
        <v>0.1</v>
      </c>
      <c r="F18" s="282">
        <f t="shared" si="1"/>
        <v>2000</v>
      </c>
      <c r="G18" s="313">
        <f t="shared" si="0"/>
        <v>1800</v>
      </c>
      <c r="H18" s="105"/>
    </row>
    <row r="19" spans="2:9" ht="18">
      <c r="B19" s="164" t="s">
        <v>265</v>
      </c>
      <c r="C19" s="283">
        <f>'Mach. Equip. &amp; Build. Req.'!E18</f>
        <v>50000</v>
      </c>
      <c r="D19" s="312">
        <v>10</v>
      </c>
      <c r="E19" s="281">
        <v>0.1</v>
      </c>
      <c r="F19" s="283">
        <f t="shared" si="1"/>
        <v>5000</v>
      </c>
      <c r="G19" s="314">
        <f t="shared" si="0"/>
        <v>4500</v>
      </c>
      <c r="H19" s="284"/>
    </row>
    <row r="20" spans="2:9">
      <c r="B20" s="302" t="s">
        <v>81</v>
      </c>
      <c r="C20" s="285">
        <f>SUM(C5:C19)</f>
        <v>425000</v>
      </c>
      <c r="D20" s="286"/>
      <c r="E20" s="287"/>
      <c r="F20" s="288">
        <f>SUM(F5:F19)</f>
        <v>24000</v>
      </c>
      <c r="G20" s="289">
        <f>SUM(G5:G19)</f>
        <v>29116.666666666668</v>
      </c>
      <c r="H20" s="303">
        <f>G20/K5</f>
        <v>291.16666666666669</v>
      </c>
    </row>
    <row r="21" spans="2:9">
      <c r="B21" s="69" t="s">
        <v>163</v>
      </c>
      <c r="C21" s="268"/>
      <c r="D21" s="268"/>
      <c r="E21" s="269"/>
      <c r="F21" s="269"/>
      <c r="G21" s="69"/>
      <c r="H21" s="106"/>
    </row>
    <row r="22" spans="2:9">
      <c r="B22" s="69" t="s">
        <v>248</v>
      </c>
      <c r="C22" s="268"/>
      <c r="D22" s="268"/>
      <c r="E22" s="269"/>
      <c r="F22" s="269"/>
      <c r="G22" s="69"/>
      <c r="H22" s="106"/>
    </row>
    <row r="23" spans="2:9" ht="26.25" customHeight="1">
      <c r="B23" s="434" t="s">
        <v>315</v>
      </c>
      <c r="C23" s="434"/>
      <c r="D23" s="434"/>
      <c r="E23" s="434"/>
      <c r="F23" s="434"/>
      <c r="G23" s="434"/>
      <c r="H23" s="434"/>
    </row>
    <row r="24" spans="2:9">
      <c r="B24" s="69" t="s">
        <v>249</v>
      </c>
      <c r="C24" s="268"/>
      <c r="D24" s="268"/>
      <c r="E24" s="269"/>
      <c r="F24" s="269"/>
      <c r="G24" s="69"/>
      <c r="H24" s="106"/>
    </row>
    <row r="25" spans="2:9">
      <c r="B25" s="69" t="s">
        <v>266</v>
      </c>
      <c r="C25" s="268"/>
      <c r="D25" s="268"/>
      <c r="E25" s="269"/>
      <c r="F25" s="269"/>
      <c r="G25" s="69"/>
      <c r="H25" s="106"/>
    </row>
    <row r="26" spans="2:9">
      <c r="B26" s="106" t="s">
        <v>267</v>
      </c>
      <c r="C26" s="268"/>
      <c r="D26" s="268"/>
      <c r="E26" s="269"/>
      <c r="F26" s="269"/>
      <c r="G26" s="69"/>
      <c r="H26" s="106"/>
    </row>
    <row r="27" spans="2:9" ht="28.5" customHeight="1">
      <c r="B27" s="435" t="s">
        <v>268</v>
      </c>
      <c r="C27" s="435"/>
      <c r="D27" s="435"/>
      <c r="E27" s="435"/>
      <c r="F27" s="435"/>
      <c r="G27" s="435"/>
      <c r="H27" s="435"/>
    </row>
    <row r="28" spans="2:9" ht="14.25" customHeight="1">
      <c r="B28" s="69" t="s">
        <v>269</v>
      </c>
      <c r="C28" s="268"/>
      <c r="D28" s="268"/>
      <c r="E28" s="269"/>
      <c r="F28" s="269"/>
      <c r="G28" s="69"/>
      <c r="H28" s="106"/>
    </row>
    <row r="29" spans="2:9">
      <c r="I29" s="101"/>
    </row>
  </sheetData>
  <protectedRanges>
    <protectedRange sqref="K5" name="Acres"/>
    <protectedRange sqref="D5:E19" name="Range_1"/>
  </protectedRanges>
  <mergeCells count="9">
    <mergeCell ref="H3:H4"/>
    <mergeCell ref="B23:H23"/>
    <mergeCell ref="B27:H27"/>
    <mergeCell ref="B2:G2"/>
    <mergeCell ref="B3:B4"/>
    <mergeCell ref="C3:C4"/>
    <mergeCell ref="D3:D4"/>
    <mergeCell ref="E3:F3"/>
    <mergeCell ref="G3:G4"/>
  </mergeCells>
  <pageMargins left="0.7" right="0.7" top="0.75" bottom="0.75" header="0.3" footer="0.3"/>
  <pageSetup orientation="portrait" verticalDpi="2" r:id="rId1"/>
  <ignoredErrors>
    <ignoredError sqref="K5 C9:C20 F9:F20 F5:F8 C5:C8" unlockedFormula="1"/>
  </ignoredErrors>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dimension ref="B2:D8"/>
  <sheetViews>
    <sheetView workbookViewId="0">
      <selection activeCell="C4" sqref="C4"/>
    </sheetView>
  </sheetViews>
  <sheetFormatPr defaultColWidth="9.140625" defaultRowHeight="15"/>
  <cols>
    <col min="1" max="1" width="6.7109375" style="4" customWidth="1"/>
    <col min="2" max="2" width="30.42578125" style="4" bestFit="1" customWidth="1"/>
    <col min="3" max="3" width="14" style="4" customWidth="1"/>
    <col min="4" max="16384" width="9.140625" style="4"/>
  </cols>
  <sheetData>
    <row r="2" spans="2:4" ht="18.75">
      <c r="B2" s="462" t="s">
        <v>181</v>
      </c>
      <c r="C2" s="462"/>
    </row>
    <row r="3" spans="2:4">
      <c r="B3" s="4" t="s">
        <v>47</v>
      </c>
      <c r="C3" s="152">
        <f>'Cider Apple Budget'!G65</f>
        <v>23839.587950410729</v>
      </c>
    </row>
    <row r="4" spans="2:4" ht="18">
      <c r="B4" s="35" t="s">
        <v>256</v>
      </c>
      <c r="C4" s="174">
        <f>30-5</f>
        <v>25</v>
      </c>
      <c r="D4" s="37"/>
    </row>
    <row r="5" spans="2:4">
      <c r="B5" s="4" t="s">
        <v>39</v>
      </c>
      <c r="C5" s="174">
        <f>'App5. Data for tables'!$H$61</f>
        <v>0.05</v>
      </c>
    </row>
    <row r="6" spans="2:4">
      <c r="C6" s="38"/>
    </row>
    <row r="7" spans="2:4">
      <c r="B7" s="31" t="s">
        <v>48</v>
      </c>
      <c r="C7" s="153">
        <f>-IF(C4=0," ",PMT(C5,C4,C3))</f>
        <v>1691.4773460827462</v>
      </c>
    </row>
    <row r="8" spans="2:4">
      <c r="B8" s="36" t="s">
        <v>257</v>
      </c>
    </row>
  </sheetData>
  <protectedRanges>
    <protectedRange sqref="C4:C5" name="Range1"/>
  </protectedRanges>
  <mergeCells count="1">
    <mergeCell ref="B2:C2"/>
  </mergeCells>
  <phoneticPr fontId="21" type="noConversion"/>
  <pageMargins left="0.7" right="0.7" top="0.75" bottom="0.75" header="0.3" footer="0.3"/>
  <pageSetup orientation="portrait" verticalDpi="2" r:id="rId1"/>
  <ignoredErrors>
    <ignoredError sqref="C4:C5" unlockedFormula="1"/>
  </ignoredErrors>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dimension ref="A1:L67"/>
  <sheetViews>
    <sheetView topLeftCell="C1" workbookViewId="0"/>
  </sheetViews>
  <sheetFormatPr defaultColWidth="8.85546875" defaultRowHeight="15"/>
  <cols>
    <col min="1" max="1" width="22.85546875" style="210" customWidth="1"/>
    <col min="2" max="2" width="50.7109375" style="210" customWidth="1"/>
    <col min="3" max="3" width="11.7109375" style="238" customWidth="1"/>
    <col min="4" max="4" width="8.7109375" style="238" customWidth="1"/>
    <col min="5" max="5" width="10" style="238" customWidth="1"/>
    <col min="6" max="6" width="10.28515625" style="238" customWidth="1"/>
    <col min="7" max="7" width="9.42578125" style="238" customWidth="1"/>
    <col min="8" max="8" width="27.42578125" style="238" customWidth="1"/>
    <col min="9" max="9" width="69.7109375" style="210" customWidth="1"/>
    <col min="10" max="10" width="15.28515625" style="210" customWidth="1"/>
    <col min="11" max="11" width="16.42578125" style="210" customWidth="1"/>
    <col min="12" max="16384" width="8.85546875" style="210"/>
  </cols>
  <sheetData>
    <row r="1" spans="1:11" ht="18.75">
      <c r="A1" s="336" t="s">
        <v>302</v>
      </c>
      <c r="B1" s="336"/>
      <c r="C1" s="234"/>
      <c r="D1" s="234"/>
      <c r="E1" s="234"/>
      <c r="F1" s="234"/>
      <c r="G1" s="234"/>
      <c r="H1" s="234"/>
      <c r="I1" s="261"/>
      <c r="J1" s="211"/>
      <c r="K1" s="211"/>
    </row>
    <row r="2" spans="1:11">
      <c r="A2" s="212"/>
      <c r="B2" s="213" t="s">
        <v>119</v>
      </c>
      <c r="C2" s="235" t="s">
        <v>29</v>
      </c>
      <c r="D2" s="235" t="s">
        <v>2</v>
      </c>
      <c r="E2" s="235" t="s">
        <v>3</v>
      </c>
      <c r="F2" s="235" t="s">
        <v>4</v>
      </c>
      <c r="G2" s="235" t="s">
        <v>28</v>
      </c>
      <c r="H2" s="240" t="s">
        <v>176</v>
      </c>
      <c r="I2" s="194" t="s">
        <v>153</v>
      </c>
      <c r="J2" s="194"/>
      <c r="K2" s="194"/>
    </row>
    <row r="3" spans="1:11" ht="19.5" customHeight="1">
      <c r="A3" s="333" t="s">
        <v>178</v>
      </c>
      <c r="B3" s="194" t="s">
        <v>144</v>
      </c>
      <c r="C3" s="224">
        <v>315</v>
      </c>
      <c r="D3" s="224">
        <v>315</v>
      </c>
      <c r="E3" s="224">
        <v>315</v>
      </c>
      <c r="F3" s="224">
        <v>315</v>
      </c>
      <c r="G3" s="224">
        <v>315</v>
      </c>
      <c r="H3" s="224">
        <v>315</v>
      </c>
      <c r="I3" s="209" t="s">
        <v>323</v>
      </c>
      <c r="J3" s="193"/>
      <c r="K3" s="193"/>
    </row>
    <row r="4" spans="1:11" ht="30">
      <c r="A4" s="214" t="s">
        <v>179</v>
      </c>
      <c r="B4" s="215" t="s">
        <v>145</v>
      </c>
      <c r="C4" s="236">
        <v>0</v>
      </c>
      <c r="D4" s="236">
        <v>0</v>
      </c>
      <c r="E4" s="236">
        <v>10</v>
      </c>
      <c r="F4" s="236">
        <v>30</v>
      </c>
      <c r="G4" s="236">
        <v>40</v>
      </c>
      <c r="H4" s="236">
        <v>50</v>
      </c>
      <c r="I4" s="208" t="s">
        <v>317</v>
      </c>
      <c r="J4" s="194"/>
      <c r="K4" s="194"/>
    </row>
    <row r="5" spans="1:11">
      <c r="A5" s="246" t="s">
        <v>16</v>
      </c>
      <c r="B5" s="247" t="s">
        <v>101</v>
      </c>
      <c r="C5" s="248">
        <v>12000</v>
      </c>
      <c r="D5" s="249"/>
      <c r="E5" s="249"/>
      <c r="F5" s="249"/>
      <c r="G5" s="249"/>
      <c r="H5" s="249"/>
      <c r="I5" s="247"/>
      <c r="J5" s="194"/>
      <c r="K5" s="194"/>
    </row>
    <row r="6" spans="1:11">
      <c r="A6" s="216" t="s">
        <v>85</v>
      </c>
      <c r="B6" s="194" t="s">
        <v>167</v>
      </c>
      <c r="C6" s="224">
        <v>150</v>
      </c>
      <c r="D6" s="237"/>
      <c r="F6" s="237"/>
      <c r="G6" s="237"/>
      <c r="H6" s="224"/>
      <c r="I6" s="309"/>
      <c r="J6" s="194"/>
      <c r="K6" s="194"/>
    </row>
    <row r="7" spans="1:11">
      <c r="A7" s="216" t="s">
        <v>85</v>
      </c>
      <c r="B7" s="194" t="s">
        <v>299</v>
      </c>
      <c r="C7" s="224">
        <v>200</v>
      </c>
      <c r="D7" s="237"/>
      <c r="F7" s="237"/>
      <c r="G7" s="237"/>
      <c r="H7" s="224"/>
      <c r="I7" s="309"/>
      <c r="J7" s="194"/>
      <c r="K7" s="194"/>
    </row>
    <row r="8" spans="1:11" ht="15" customHeight="1">
      <c r="A8" s="216" t="s">
        <v>85</v>
      </c>
      <c r="B8" s="194" t="s">
        <v>250</v>
      </c>
      <c r="C8" s="224">
        <v>200</v>
      </c>
      <c r="D8" s="237"/>
      <c r="F8" s="237"/>
      <c r="G8" s="237"/>
      <c r="H8" s="237"/>
      <c r="I8" s="194"/>
      <c r="J8" s="194"/>
      <c r="K8" s="194"/>
    </row>
    <row r="9" spans="1:11" ht="15" customHeight="1">
      <c r="A9" s="216" t="s">
        <v>85</v>
      </c>
      <c r="B9" s="194" t="s">
        <v>168</v>
      </c>
      <c r="C9" s="224">
        <v>20</v>
      </c>
      <c r="D9" s="237"/>
      <c r="F9" s="237"/>
      <c r="G9" s="237"/>
      <c r="H9" s="237"/>
      <c r="I9" s="309"/>
      <c r="J9" s="194"/>
      <c r="K9" s="194"/>
    </row>
    <row r="10" spans="1:11" ht="15" customHeight="1">
      <c r="A10" s="216" t="s">
        <v>85</v>
      </c>
      <c r="B10" s="194" t="s">
        <v>169</v>
      </c>
      <c r="C10" s="224">
        <v>0.5</v>
      </c>
      <c r="D10" s="237"/>
      <c r="F10" s="237"/>
      <c r="G10" s="237"/>
      <c r="H10" s="237"/>
      <c r="I10" s="194"/>
      <c r="J10" s="194"/>
      <c r="K10" s="194"/>
    </row>
    <row r="11" spans="1:11">
      <c r="A11" s="241" t="s">
        <v>85</v>
      </c>
      <c r="B11" s="242" t="s">
        <v>113</v>
      </c>
      <c r="C11" s="243">
        <v>13</v>
      </c>
      <c r="D11" s="244"/>
      <c r="E11" s="244"/>
      <c r="F11" s="245"/>
      <c r="G11" s="245"/>
      <c r="H11" s="245"/>
      <c r="I11" s="242"/>
      <c r="J11" s="194"/>
      <c r="K11" s="194"/>
    </row>
    <row r="12" spans="1:11">
      <c r="A12" s="216" t="s">
        <v>86</v>
      </c>
      <c r="B12" s="194" t="s">
        <v>99</v>
      </c>
      <c r="C12" s="250">
        <v>1452</v>
      </c>
      <c r="D12" s="237"/>
      <c r="E12" s="237"/>
      <c r="F12" s="237"/>
      <c r="G12" s="237"/>
      <c r="H12" s="237"/>
      <c r="I12" s="194"/>
      <c r="J12" s="194"/>
      <c r="K12" s="194"/>
    </row>
    <row r="13" spans="1:11">
      <c r="A13" s="216" t="s">
        <v>86</v>
      </c>
      <c r="B13" s="194" t="s">
        <v>114</v>
      </c>
      <c r="C13" s="224">
        <v>6.75</v>
      </c>
      <c r="D13" s="237"/>
      <c r="E13" s="237"/>
      <c r="F13" s="237"/>
      <c r="G13" s="237"/>
      <c r="H13" s="237"/>
      <c r="I13" s="194"/>
      <c r="J13" s="194"/>
      <c r="K13" s="194"/>
    </row>
    <row r="14" spans="1:11">
      <c r="A14" s="216" t="s">
        <v>86</v>
      </c>
      <c r="B14" s="194" t="s">
        <v>128</v>
      </c>
      <c r="C14" s="310">
        <v>0.03</v>
      </c>
      <c r="D14" s="237"/>
      <c r="E14" s="237"/>
      <c r="F14" s="237"/>
      <c r="G14" s="237"/>
      <c r="H14" s="237"/>
      <c r="I14" s="194"/>
      <c r="J14" s="194"/>
      <c r="K14" s="194"/>
    </row>
    <row r="15" spans="1:11">
      <c r="A15" s="214" t="s">
        <v>86</v>
      </c>
      <c r="B15" s="215" t="s">
        <v>113</v>
      </c>
      <c r="C15" s="232">
        <v>12</v>
      </c>
      <c r="D15" s="236"/>
      <c r="E15" s="236"/>
      <c r="F15" s="236"/>
      <c r="G15" s="236"/>
      <c r="H15" s="236"/>
      <c r="I15" s="242"/>
      <c r="J15" s="194"/>
      <c r="K15" s="194"/>
    </row>
    <row r="16" spans="1:11">
      <c r="A16" s="217" t="s">
        <v>11</v>
      </c>
      <c r="B16" s="159" t="s">
        <v>130</v>
      </c>
      <c r="C16" s="230">
        <f>SUM(C17:C18)</f>
        <v>2500</v>
      </c>
      <c r="D16" s="230"/>
      <c r="E16" s="230"/>
      <c r="F16" s="230"/>
      <c r="G16" s="230"/>
      <c r="H16" s="230"/>
      <c r="I16" s="193" t="s">
        <v>300</v>
      </c>
      <c r="J16" s="193"/>
      <c r="K16" s="193"/>
    </row>
    <row r="17" spans="1:12">
      <c r="A17" s="216" t="s">
        <v>11</v>
      </c>
      <c r="B17" s="251" t="s">
        <v>78</v>
      </c>
      <c r="C17" s="224">
        <v>1800</v>
      </c>
      <c r="D17" s="224"/>
      <c r="E17" s="224"/>
      <c r="F17" s="224"/>
      <c r="G17" s="224"/>
      <c r="H17" s="224"/>
      <c r="I17" s="173"/>
      <c r="J17" s="193"/>
      <c r="K17" s="193"/>
    </row>
    <row r="18" spans="1:12">
      <c r="A18" s="214" t="s">
        <v>11</v>
      </c>
      <c r="B18" s="251" t="s">
        <v>60</v>
      </c>
      <c r="C18" s="224">
        <v>700</v>
      </c>
      <c r="D18" s="224"/>
      <c r="E18" s="224"/>
      <c r="F18" s="224"/>
      <c r="G18" s="224"/>
      <c r="H18" s="224"/>
      <c r="I18" s="252"/>
      <c r="J18" s="193"/>
      <c r="K18" s="193"/>
    </row>
    <row r="19" spans="1:12">
      <c r="A19" s="217" t="s">
        <v>102</v>
      </c>
      <c r="B19" s="220" t="s">
        <v>131</v>
      </c>
      <c r="C19" s="230">
        <v>2200</v>
      </c>
      <c r="D19" s="230"/>
      <c r="E19" s="230"/>
      <c r="F19" s="230"/>
      <c r="G19" s="230"/>
      <c r="H19" s="230"/>
      <c r="I19" s="221"/>
      <c r="J19" s="221"/>
      <c r="K19" s="221"/>
    </row>
    <row r="20" spans="1:12">
      <c r="A20" s="214" t="s">
        <v>102</v>
      </c>
      <c r="B20" s="231" t="s">
        <v>132</v>
      </c>
      <c r="C20" s="232">
        <v>800</v>
      </c>
      <c r="D20" s="232"/>
      <c r="E20" s="232"/>
      <c r="F20" s="232"/>
      <c r="G20" s="232"/>
      <c r="H20" s="232"/>
      <c r="I20" s="253"/>
      <c r="J20" s="221"/>
      <c r="K20" s="221"/>
    </row>
    <row r="21" spans="1:12">
      <c r="A21" s="194" t="s">
        <v>7</v>
      </c>
      <c r="B21" s="222" t="s">
        <v>141</v>
      </c>
      <c r="C21" s="224">
        <v>500</v>
      </c>
      <c r="D21" s="224"/>
      <c r="E21" s="224"/>
      <c r="F21" s="224"/>
      <c r="G21" s="224"/>
      <c r="H21" s="224"/>
      <c r="I21" s="193"/>
      <c r="J21" s="193"/>
      <c r="K21" s="193"/>
    </row>
    <row r="22" spans="1:12">
      <c r="A22" s="215" t="s">
        <v>7</v>
      </c>
      <c r="B22" s="223" t="s">
        <v>142</v>
      </c>
      <c r="C22" s="232">
        <v>150</v>
      </c>
      <c r="D22" s="232"/>
      <c r="E22" s="232"/>
      <c r="F22" s="232"/>
      <c r="G22" s="232"/>
      <c r="H22" s="232"/>
      <c r="I22" s="252"/>
      <c r="J22" s="193"/>
      <c r="K22" s="193"/>
    </row>
    <row r="23" spans="1:12" ht="15.75" customHeight="1">
      <c r="A23" s="247" t="s">
        <v>9</v>
      </c>
      <c r="B23" s="254" t="s">
        <v>121</v>
      </c>
      <c r="C23" s="248">
        <v>300</v>
      </c>
      <c r="D23" s="248"/>
      <c r="E23" s="248"/>
      <c r="F23" s="248"/>
      <c r="G23" s="248"/>
      <c r="H23" s="248"/>
      <c r="I23" s="255" t="s">
        <v>251</v>
      </c>
      <c r="J23" s="193"/>
      <c r="K23" s="221"/>
    </row>
    <row r="24" spans="1:12">
      <c r="A24" s="217" t="s">
        <v>108</v>
      </c>
      <c r="B24" s="222" t="s">
        <v>123</v>
      </c>
      <c r="C24" s="262">
        <v>5</v>
      </c>
      <c r="D24" s="262">
        <v>6</v>
      </c>
      <c r="E24" s="262">
        <v>10</v>
      </c>
      <c r="F24" s="262">
        <v>13</v>
      </c>
      <c r="G24" s="262">
        <v>28</v>
      </c>
      <c r="H24" s="262">
        <v>42</v>
      </c>
      <c r="I24" s="194"/>
      <c r="J24" s="263"/>
      <c r="K24" s="263"/>
      <c r="L24" s="263"/>
    </row>
    <row r="25" spans="1:12">
      <c r="A25" s="216" t="s">
        <v>108</v>
      </c>
      <c r="B25" s="264" t="s">
        <v>113</v>
      </c>
      <c r="C25" s="243">
        <v>13</v>
      </c>
      <c r="D25" s="243">
        <v>13</v>
      </c>
      <c r="E25" s="243">
        <v>13</v>
      </c>
      <c r="F25" s="243">
        <v>13</v>
      </c>
      <c r="G25" s="243">
        <v>13</v>
      </c>
      <c r="H25" s="243">
        <v>13</v>
      </c>
      <c r="I25" s="252"/>
      <c r="J25" s="263"/>
      <c r="K25" s="263"/>
      <c r="L25" s="263"/>
    </row>
    <row r="26" spans="1:12">
      <c r="A26" s="216" t="s">
        <v>108</v>
      </c>
      <c r="B26" s="194" t="s">
        <v>122</v>
      </c>
      <c r="C26" s="237">
        <v>7</v>
      </c>
      <c r="D26" s="237">
        <v>20</v>
      </c>
      <c r="E26" s="237">
        <v>20</v>
      </c>
      <c r="F26" s="237">
        <v>10</v>
      </c>
      <c r="G26" s="237">
        <v>5</v>
      </c>
      <c r="H26" s="237">
        <v>0</v>
      </c>
      <c r="I26" s="194"/>
      <c r="J26" s="263"/>
      <c r="K26" s="263"/>
      <c r="L26" s="263"/>
    </row>
    <row r="27" spans="1:12">
      <c r="A27" s="214" t="s">
        <v>108</v>
      </c>
      <c r="B27" s="215" t="s">
        <v>113</v>
      </c>
      <c r="C27" s="243">
        <v>13</v>
      </c>
      <c r="D27" s="243">
        <v>13</v>
      </c>
      <c r="E27" s="243">
        <v>13</v>
      </c>
      <c r="F27" s="243">
        <v>13</v>
      </c>
      <c r="G27" s="243">
        <v>13</v>
      </c>
      <c r="H27" s="243">
        <v>13</v>
      </c>
      <c r="I27" s="252"/>
      <c r="J27" s="263"/>
      <c r="K27" s="263"/>
      <c r="L27" s="263"/>
    </row>
    <row r="28" spans="1:12" ht="45">
      <c r="A28" s="216" t="s">
        <v>109</v>
      </c>
      <c r="B28" s="194" t="s">
        <v>91</v>
      </c>
      <c r="C28" s="237">
        <v>6</v>
      </c>
      <c r="D28" s="237">
        <v>17</v>
      </c>
      <c r="E28" s="237">
        <v>17</v>
      </c>
      <c r="F28" s="237">
        <v>34</v>
      </c>
      <c r="G28" s="237">
        <v>50</v>
      </c>
      <c r="H28" s="237">
        <v>62</v>
      </c>
      <c r="I28" s="317" t="s">
        <v>252</v>
      </c>
      <c r="J28" s="194"/>
      <c r="K28" s="194"/>
    </row>
    <row r="29" spans="1:12">
      <c r="A29" s="214" t="s">
        <v>109</v>
      </c>
      <c r="B29" s="215" t="s">
        <v>113</v>
      </c>
      <c r="C29" s="243">
        <v>13</v>
      </c>
      <c r="D29" s="243">
        <v>13</v>
      </c>
      <c r="E29" s="243">
        <v>13</v>
      </c>
      <c r="F29" s="243">
        <v>13</v>
      </c>
      <c r="G29" s="243">
        <v>13</v>
      </c>
      <c r="H29" s="243">
        <v>13</v>
      </c>
      <c r="I29" s="252"/>
      <c r="J29" s="193"/>
      <c r="K29" s="193"/>
    </row>
    <row r="30" spans="1:12">
      <c r="A30" s="217" t="s">
        <v>88</v>
      </c>
      <c r="B30" s="218" t="s">
        <v>105</v>
      </c>
      <c r="C30" s="230">
        <v>525</v>
      </c>
      <c r="D30" s="230">
        <v>525</v>
      </c>
      <c r="E30" s="230">
        <v>525</v>
      </c>
      <c r="F30" s="230">
        <v>730</v>
      </c>
      <c r="G30" s="230">
        <v>940</v>
      </c>
      <c r="H30" s="230">
        <v>940</v>
      </c>
      <c r="I30" s="173" t="s">
        <v>253</v>
      </c>
      <c r="J30" s="263"/>
      <c r="K30" s="263"/>
      <c r="L30" s="263"/>
    </row>
    <row r="31" spans="1:12">
      <c r="A31" s="216" t="s">
        <v>88</v>
      </c>
      <c r="B31" s="194" t="s">
        <v>89</v>
      </c>
      <c r="C31" s="237">
        <v>3</v>
      </c>
      <c r="D31" s="237">
        <v>6</v>
      </c>
      <c r="E31" s="237">
        <v>15</v>
      </c>
      <c r="F31" s="237">
        <v>15</v>
      </c>
      <c r="G31" s="237">
        <v>15</v>
      </c>
      <c r="H31" s="237">
        <v>17</v>
      </c>
      <c r="I31" s="194"/>
      <c r="J31" s="263"/>
      <c r="K31" s="263"/>
      <c r="L31" s="263"/>
    </row>
    <row r="32" spans="1:12">
      <c r="A32" s="214" t="s">
        <v>88</v>
      </c>
      <c r="B32" s="215" t="s">
        <v>113</v>
      </c>
      <c r="C32" s="243">
        <v>14</v>
      </c>
      <c r="D32" s="243">
        <v>14</v>
      </c>
      <c r="E32" s="243">
        <v>14</v>
      </c>
      <c r="F32" s="243">
        <v>14</v>
      </c>
      <c r="G32" s="243">
        <v>14</v>
      </c>
      <c r="H32" s="243">
        <v>14</v>
      </c>
      <c r="I32" s="252"/>
      <c r="J32" s="263"/>
      <c r="K32" s="263"/>
      <c r="L32" s="263"/>
    </row>
    <row r="33" spans="1:12">
      <c r="A33" s="216" t="s">
        <v>106</v>
      </c>
      <c r="B33" s="210" t="s">
        <v>103</v>
      </c>
      <c r="C33" s="225">
        <v>320</v>
      </c>
      <c r="D33" s="225">
        <v>320</v>
      </c>
      <c r="E33" s="225">
        <v>320</v>
      </c>
      <c r="F33" s="225">
        <v>320</v>
      </c>
      <c r="G33" s="225">
        <v>320</v>
      </c>
      <c r="H33" s="225">
        <v>320</v>
      </c>
      <c r="I33" s="311" t="s">
        <v>254</v>
      </c>
      <c r="J33" s="263"/>
      <c r="K33" s="263"/>
      <c r="L33" s="263"/>
    </row>
    <row r="34" spans="1:12">
      <c r="A34" s="216" t="s">
        <v>106</v>
      </c>
      <c r="B34" s="210" t="s">
        <v>124</v>
      </c>
      <c r="C34" s="265">
        <v>0</v>
      </c>
      <c r="D34" s="265">
        <v>0</v>
      </c>
      <c r="E34" s="265">
        <v>2</v>
      </c>
      <c r="F34" s="265">
        <v>2</v>
      </c>
      <c r="G34" s="265">
        <v>2</v>
      </c>
      <c r="H34" s="265">
        <v>2</v>
      </c>
      <c r="J34" s="263"/>
      <c r="K34" s="263"/>
      <c r="L34" s="263"/>
    </row>
    <row r="35" spans="1:12">
      <c r="A35" s="214" t="s">
        <v>106</v>
      </c>
      <c r="B35" s="215" t="s">
        <v>113</v>
      </c>
      <c r="C35" s="243">
        <v>14</v>
      </c>
      <c r="D35" s="243">
        <v>14</v>
      </c>
      <c r="E35" s="243">
        <v>14</v>
      </c>
      <c r="F35" s="243">
        <v>14</v>
      </c>
      <c r="G35" s="243">
        <v>14</v>
      </c>
      <c r="H35" s="243">
        <v>14</v>
      </c>
      <c r="I35" s="252"/>
      <c r="J35" s="193"/>
      <c r="K35" s="193"/>
    </row>
    <row r="36" spans="1:12">
      <c r="A36" s="216" t="s">
        <v>104</v>
      </c>
      <c r="B36" s="194" t="s">
        <v>170</v>
      </c>
      <c r="C36" s="224">
        <v>155</v>
      </c>
      <c r="D36" s="224">
        <v>155</v>
      </c>
      <c r="E36" s="224">
        <v>155</v>
      </c>
      <c r="F36" s="224">
        <v>155</v>
      </c>
      <c r="G36" s="224">
        <v>155</v>
      </c>
      <c r="H36" s="224">
        <v>155</v>
      </c>
      <c r="I36" s="193"/>
      <c r="J36" s="193"/>
      <c r="K36" s="193"/>
    </row>
    <row r="37" spans="1:12">
      <c r="A37" s="216" t="s">
        <v>104</v>
      </c>
      <c r="B37" s="210" t="s">
        <v>90</v>
      </c>
      <c r="C37" s="225">
        <v>180</v>
      </c>
      <c r="D37" s="225">
        <v>180</v>
      </c>
      <c r="E37" s="225">
        <v>180</v>
      </c>
      <c r="F37" s="225">
        <v>180</v>
      </c>
      <c r="G37" s="225">
        <v>180</v>
      </c>
      <c r="H37" s="225">
        <v>180</v>
      </c>
      <c r="I37" s="227"/>
      <c r="J37" s="227"/>
      <c r="K37" s="227"/>
    </row>
    <row r="38" spans="1:12">
      <c r="A38" s="216" t="s">
        <v>115</v>
      </c>
      <c r="B38" s="210" t="s">
        <v>107</v>
      </c>
      <c r="C38" s="265">
        <v>10</v>
      </c>
      <c r="D38" s="265">
        <v>10</v>
      </c>
      <c r="E38" s="265">
        <v>10</v>
      </c>
      <c r="F38" s="265">
        <v>10</v>
      </c>
      <c r="G38" s="265">
        <v>10</v>
      </c>
      <c r="H38" s="265">
        <v>10</v>
      </c>
    </row>
    <row r="39" spans="1:12">
      <c r="A39" s="214" t="s">
        <v>104</v>
      </c>
      <c r="B39" s="215" t="s">
        <v>113</v>
      </c>
      <c r="C39" s="243">
        <v>14</v>
      </c>
      <c r="D39" s="243">
        <v>14</v>
      </c>
      <c r="E39" s="243">
        <v>14</v>
      </c>
      <c r="F39" s="243">
        <v>14</v>
      </c>
      <c r="G39" s="243">
        <v>14</v>
      </c>
      <c r="H39" s="243">
        <v>14</v>
      </c>
      <c r="I39" s="252"/>
      <c r="J39" s="193"/>
      <c r="K39" s="193"/>
    </row>
    <row r="40" spans="1:12">
      <c r="A40" s="216" t="s">
        <v>116</v>
      </c>
      <c r="B40" s="194" t="s">
        <v>92</v>
      </c>
      <c r="C40" s="224"/>
      <c r="D40" s="224"/>
      <c r="E40" s="224">
        <v>55</v>
      </c>
      <c r="F40" s="224">
        <v>55</v>
      </c>
      <c r="G40" s="224">
        <v>55</v>
      </c>
      <c r="H40" s="224">
        <v>55</v>
      </c>
      <c r="I40" s="193"/>
      <c r="J40" s="193"/>
      <c r="K40" s="193"/>
    </row>
    <row r="41" spans="1:12">
      <c r="A41" s="214" t="s">
        <v>116</v>
      </c>
      <c r="B41" s="215" t="s">
        <v>93</v>
      </c>
      <c r="C41" s="236"/>
      <c r="D41" s="236"/>
      <c r="E41" s="236">
        <v>1</v>
      </c>
      <c r="F41" s="236">
        <v>1</v>
      </c>
      <c r="G41" s="236">
        <v>1</v>
      </c>
      <c r="H41" s="236">
        <v>1</v>
      </c>
      <c r="I41" s="242"/>
      <c r="J41" s="194"/>
      <c r="K41" s="194"/>
    </row>
    <row r="42" spans="1:12" ht="30">
      <c r="A42" s="216" t="s">
        <v>117</v>
      </c>
      <c r="B42" s="317" t="s">
        <v>301</v>
      </c>
      <c r="C42" s="237"/>
      <c r="D42" s="237"/>
      <c r="E42" s="224">
        <f>(31200+10000)/E65</f>
        <v>4120</v>
      </c>
      <c r="F42" s="224"/>
      <c r="G42" s="237"/>
      <c r="H42" s="237"/>
      <c r="I42" s="316" t="s">
        <v>322</v>
      </c>
      <c r="J42" s="194"/>
      <c r="K42" s="194"/>
    </row>
    <row r="43" spans="1:12">
      <c r="A43" s="216" t="s">
        <v>117</v>
      </c>
      <c r="B43" s="194" t="s">
        <v>125</v>
      </c>
      <c r="C43" s="237"/>
      <c r="D43" s="237"/>
      <c r="E43" s="266">
        <v>0.64</v>
      </c>
      <c r="F43" s="266"/>
      <c r="G43" s="237"/>
      <c r="H43" s="237"/>
      <c r="I43" s="263"/>
      <c r="J43" s="194"/>
      <c r="K43" s="194"/>
    </row>
    <row r="44" spans="1:12">
      <c r="A44" s="216" t="s">
        <v>117</v>
      </c>
      <c r="B44" s="223" t="s">
        <v>113</v>
      </c>
      <c r="C44" s="232"/>
      <c r="D44" s="232"/>
      <c r="E44" s="232">
        <v>14</v>
      </c>
      <c r="F44" s="232"/>
      <c r="G44" s="232"/>
      <c r="H44" s="232"/>
      <c r="I44" s="267"/>
      <c r="J44" s="193"/>
      <c r="K44" s="193"/>
    </row>
    <row r="45" spans="1:12">
      <c r="A45" s="216" t="s">
        <v>117</v>
      </c>
      <c r="B45" s="194" t="s">
        <v>110</v>
      </c>
      <c r="C45" s="237">
        <v>0</v>
      </c>
      <c r="D45" s="237">
        <v>0</v>
      </c>
      <c r="E45" s="237">
        <v>0.4</v>
      </c>
      <c r="F45" s="237">
        <v>0.4</v>
      </c>
      <c r="G45" s="237">
        <v>0.4</v>
      </c>
      <c r="H45" s="237">
        <v>0.4</v>
      </c>
      <c r="I45" s="194"/>
      <c r="J45" s="194"/>
      <c r="K45" s="194"/>
    </row>
    <row r="46" spans="1:12">
      <c r="A46" s="214" t="s">
        <v>117</v>
      </c>
      <c r="B46" s="215" t="s">
        <v>113</v>
      </c>
      <c r="C46" s="232">
        <v>14</v>
      </c>
      <c r="D46" s="232">
        <v>14</v>
      </c>
      <c r="E46" s="232">
        <v>14</v>
      </c>
      <c r="F46" s="232">
        <v>14</v>
      </c>
      <c r="G46" s="232">
        <v>14</v>
      </c>
      <c r="H46" s="232">
        <v>14</v>
      </c>
      <c r="I46" s="252"/>
      <c r="J46" s="193"/>
      <c r="K46" s="193"/>
    </row>
    <row r="47" spans="1:12" ht="15" customHeight="1">
      <c r="A47" s="172" t="s">
        <v>87</v>
      </c>
      <c r="B47" s="160" t="s">
        <v>154</v>
      </c>
      <c r="C47" s="190">
        <v>0</v>
      </c>
      <c r="D47" s="190">
        <v>0</v>
      </c>
      <c r="E47" s="190">
        <v>0</v>
      </c>
      <c r="F47" s="190">
        <f>SUM($C$21:$C$22,$C$23)*0.01</f>
        <v>9.5</v>
      </c>
      <c r="G47" s="190">
        <f>SUM($C$21:$C$22,$C$23)*0.01</f>
        <v>9.5</v>
      </c>
      <c r="H47" s="190">
        <f>SUM($C$21:$C$22,$C$23)*0.01</f>
        <v>9.5</v>
      </c>
      <c r="I47" s="259" t="s">
        <v>319</v>
      </c>
      <c r="J47" s="226"/>
      <c r="K47" s="226"/>
    </row>
    <row r="48" spans="1:12" ht="15" customHeight="1">
      <c r="A48" s="172" t="s">
        <v>87</v>
      </c>
      <c r="B48" s="160" t="s">
        <v>155</v>
      </c>
      <c r="C48" s="190">
        <f t="shared" ref="C48:H48" si="0">$C$19*0.01</f>
        <v>22</v>
      </c>
      <c r="D48" s="190">
        <f t="shared" si="0"/>
        <v>22</v>
      </c>
      <c r="E48" s="190">
        <f t="shared" si="0"/>
        <v>22</v>
      </c>
      <c r="F48" s="190">
        <f t="shared" si="0"/>
        <v>22</v>
      </c>
      <c r="G48" s="190">
        <f t="shared" si="0"/>
        <v>22</v>
      </c>
      <c r="H48" s="190">
        <f t="shared" si="0"/>
        <v>22</v>
      </c>
      <c r="I48" s="259" t="s">
        <v>320</v>
      </c>
      <c r="J48" s="226"/>
      <c r="K48" s="226"/>
    </row>
    <row r="49" spans="1:11" ht="15" customHeight="1">
      <c r="A49" s="172" t="s">
        <v>87</v>
      </c>
      <c r="B49" s="160" t="s">
        <v>152</v>
      </c>
      <c r="C49" s="190">
        <v>0</v>
      </c>
      <c r="D49" s="190">
        <f>SUM($C$17:$C$18)*0.02</f>
        <v>50</v>
      </c>
      <c r="E49" s="190">
        <f t="shared" ref="E49:H49" si="1">SUM($C$17:$C$18)*0.02</f>
        <v>50</v>
      </c>
      <c r="F49" s="190">
        <f t="shared" si="1"/>
        <v>50</v>
      </c>
      <c r="G49" s="190">
        <f t="shared" si="1"/>
        <v>50</v>
      </c>
      <c r="H49" s="190">
        <f t="shared" si="1"/>
        <v>50</v>
      </c>
      <c r="I49" s="259" t="s">
        <v>318</v>
      </c>
      <c r="J49" s="226"/>
      <c r="K49" s="226"/>
    </row>
    <row r="50" spans="1:11" ht="15" customHeight="1">
      <c r="A50" s="172" t="s">
        <v>87</v>
      </c>
      <c r="B50" s="160" t="s">
        <v>156</v>
      </c>
      <c r="C50" s="190">
        <v>0</v>
      </c>
      <c r="D50" s="190">
        <v>0</v>
      </c>
      <c r="E50" s="190">
        <v>0</v>
      </c>
      <c r="F50" s="190">
        <v>0</v>
      </c>
      <c r="G50" s="190">
        <v>0</v>
      </c>
      <c r="H50" s="190">
        <v>24</v>
      </c>
      <c r="I50" s="259" t="s">
        <v>321</v>
      </c>
      <c r="J50" s="226"/>
      <c r="K50" s="226"/>
    </row>
    <row r="51" spans="1:11" ht="15" customHeight="1">
      <c r="A51" s="172" t="s">
        <v>87</v>
      </c>
      <c r="B51" s="162" t="s">
        <v>157</v>
      </c>
      <c r="C51" s="190">
        <v>125</v>
      </c>
      <c r="D51" s="190">
        <v>125</v>
      </c>
      <c r="E51" s="190">
        <v>125</v>
      </c>
      <c r="F51" s="190">
        <v>125</v>
      </c>
      <c r="G51" s="190">
        <v>125</v>
      </c>
      <c r="H51" s="190">
        <v>125</v>
      </c>
      <c r="I51" s="227"/>
      <c r="J51" s="227"/>
      <c r="K51" s="227"/>
    </row>
    <row r="52" spans="1:11" ht="15" customHeight="1">
      <c r="A52" s="256" t="s">
        <v>87</v>
      </c>
      <c r="B52" s="257" t="s">
        <v>158</v>
      </c>
      <c r="C52" s="258">
        <v>85</v>
      </c>
      <c r="D52" s="258">
        <v>95</v>
      </c>
      <c r="E52" s="258">
        <v>125</v>
      </c>
      <c r="F52" s="258">
        <v>180</v>
      </c>
      <c r="G52" s="258">
        <v>180</v>
      </c>
      <c r="H52" s="258">
        <v>180</v>
      </c>
      <c r="I52" s="252"/>
      <c r="J52" s="193"/>
      <c r="K52" s="193"/>
    </row>
    <row r="53" spans="1:11">
      <c r="A53" s="353" t="s">
        <v>111</v>
      </c>
      <c r="B53" s="354" t="s">
        <v>138</v>
      </c>
      <c r="C53" s="355"/>
      <c r="D53" s="355"/>
      <c r="E53" s="355">
        <v>60</v>
      </c>
      <c r="F53" s="355">
        <v>60</v>
      </c>
      <c r="G53" s="355">
        <v>60</v>
      </c>
      <c r="H53" s="355">
        <v>60</v>
      </c>
      <c r="I53" s="356"/>
      <c r="J53" s="193"/>
      <c r="K53" s="193"/>
    </row>
    <row r="54" spans="1:11" ht="30">
      <c r="A54" s="216" t="s">
        <v>160</v>
      </c>
      <c r="B54" s="228" t="s">
        <v>118</v>
      </c>
      <c r="C54" s="225">
        <v>125</v>
      </c>
      <c r="D54" s="225">
        <v>125</v>
      </c>
      <c r="E54" s="225">
        <v>300</v>
      </c>
      <c r="F54" s="225">
        <v>300</v>
      </c>
      <c r="G54" s="225">
        <v>300</v>
      </c>
      <c r="H54" s="225">
        <v>300</v>
      </c>
      <c r="I54" s="260" t="s">
        <v>159</v>
      </c>
      <c r="J54" s="227"/>
      <c r="K54" s="227"/>
    </row>
    <row r="55" spans="1:11">
      <c r="A55" s="216" t="s">
        <v>160</v>
      </c>
      <c r="B55" s="228" t="s">
        <v>139</v>
      </c>
      <c r="C55" s="225">
        <v>100</v>
      </c>
      <c r="D55" s="225">
        <v>100</v>
      </c>
      <c r="E55" s="225">
        <v>100</v>
      </c>
      <c r="F55" s="225">
        <v>100</v>
      </c>
      <c r="G55" s="225">
        <v>100</v>
      </c>
      <c r="H55" s="225">
        <v>100</v>
      </c>
      <c r="I55" s="227"/>
      <c r="J55" s="227"/>
      <c r="K55" s="227"/>
    </row>
    <row r="56" spans="1:11">
      <c r="A56" s="216" t="s">
        <v>160</v>
      </c>
      <c r="B56" s="210" t="s">
        <v>67</v>
      </c>
      <c r="C56" s="225">
        <v>120</v>
      </c>
      <c r="D56" s="225">
        <v>120</v>
      </c>
      <c r="E56" s="225">
        <v>120</v>
      </c>
      <c r="F56" s="225">
        <v>120</v>
      </c>
      <c r="G56" s="225">
        <v>120</v>
      </c>
      <c r="H56" s="225">
        <v>120</v>
      </c>
      <c r="I56" s="227"/>
      <c r="J56" s="227"/>
      <c r="K56" s="227"/>
    </row>
    <row r="57" spans="1:11">
      <c r="A57" s="216" t="s">
        <v>160</v>
      </c>
      <c r="B57" s="228" t="s">
        <v>71</v>
      </c>
      <c r="C57" s="225">
        <v>145</v>
      </c>
      <c r="D57" s="225">
        <v>145</v>
      </c>
      <c r="E57" s="225">
        <v>145</v>
      </c>
      <c r="F57" s="225">
        <v>145</v>
      </c>
      <c r="G57" s="225">
        <v>145</v>
      </c>
      <c r="H57" s="225">
        <v>145</v>
      </c>
      <c r="I57" s="227"/>
      <c r="J57" s="227"/>
      <c r="K57" s="227"/>
    </row>
    <row r="58" spans="1:11">
      <c r="A58" s="216" t="s">
        <v>160</v>
      </c>
      <c r="B58" s="228" t="s">
        <v>180</v>
      </c>
      <c r="C58" s="225">
        <v>0</v>
      </c>
      <c r="D58" s="225">
        <v>0</v>
      </c>
      <c r="E58" s="225">
        <v>190</v>
      </c>
      <c r="F58" s="225">
        <v>190</v>
      </c>
      <c r="G58" s="225">
        <v>190</v>
      </c>
      <c r="H58" s="225">
        <v>190</v>
      </c>
      <c r="I58" s="227"/>
      <c r="J58" s="227"/>
      <c r="K58" s="227"/>
    </row>
    <row r="59" spans="1:11">
      <c r="A59" s="216" t="s">
        <v>160</v>
      </c>
      <c r="B59" s="219" t="s">
        <v>255</v>
      </c>
      <c r="C59" s="224">
        <v>300</v>
      </c>
      <c r="D59" s="224">
        <v>300</v>
      </c>
      <c r="E59" s="224">
        <v>300</v>
      </c>
      <c r="F59" s="224">
        <v>300</v>
      </c>
      <c r="G59" s="224">
        <v>300</v>
      </c>
      <c r="H59" s="224">
        <v>300</v>
      </c>
      <c r="I59" s="229"/>
      <c r="J59" s="229"/>
      <c r="K59" s="229"/>
    </row>
    <row r="60" spans="1:11">
      <c r="A60" s="216" t="s">
        <v>160</v>
      </c>
      <c r="B60" s="194" t="s">
        <v>129</v>
      </c>
      <c r="C60" s="239">
        <v>0.05</v>
      </c>
      <c r="D60" s="239">
        <v>0.05</v>
      </c>
      <c r="E60" s="239">
        <v>0.05</v>
      </c>
      <c r="F60" s="239">
        <v>0.05</v>
      </c>
      <c r="G60" s="239">
        <v>0.05</v>
      </c>
      <c r="H60" s="239">
        <v>0.05</v>
      </c>
      <c r="I60" s="233"/>
      <c r="J60" s="233"/>
      <c r="K60" s="233"/>
    </row>
    <row r="61" spans="1:11">
      <c r="A61" s="216" t="s">
        <v>160</v>
      </c>
      <c r="B61" s="194" t="s">
        <v>94</v>
      </c>
      <c r="C61" s="239">
        <v>0.05</v>
      </c>
      <c r="D61" s="239">
        <v>0.05</v>
      </c>
      <c r="E61" s="239">
        <v>0.05</v>
      </c>
      <c r="F61" s="239">
        <v>0.05</v>
      </c>
      <c r="G61" s="239">
        <v>0.05</v>
      </c>
      <c r="H61" s="239">
        <v>0.05</v>
      </c>
      <c r="I61" s="233"/>
      <c r="J61" s="233"/>
      <c r="K61" s="233"/>
    </row>
    <row r="62" spans="1:11">
      <c r="A62" s="216" t="s">
        <v>160</v>
      </c>
      <c r="B62" s="194" t="s">
        <v>95</v>
      </c>
      <c r="C62" s="239">
        <v>0.05</v>
      </c>
      <c r="D62" s="239">
        <v>0.05</v>
      </c>
      <c r="E62" s="239">
        <v>0.05</v>
      </c>
      <c r="F62" s="239">
        <v>0.05</v>
      </c>
      <c r="G62" s="239">
        <v>0.05</v>
      </c>
      <c r="H62" s="239">
        <v>0</v>
      </c>
      <c r="I62" s="233"/>
      <c r="J62" s="233"/>
      <c r="K62" s="233"/>
    </row>
    <row r="63" spans="1:11">
      <c r="A63" s="216" t="s">
        <v>160</v>
      </c>
      <c r="B63" s="194" t="s">
        <v>96</v>
      </c>
      <c r="C63" s="237">
        <v>1</v>
      </c>
      <c r="D63" s="237">
        <v>1</v>
      </c>
      <c r="E63" s="237">
        <v>1</v>
      </c>
      <c r="F63" s="237">
        <v>1</v>
      </c>
      <c r="G63" s="237">
        <v>1</v>
      </c>
      <c r="H63" s="237">
        <v>0.75</v>
      </c>
      <c r="I63" s="194"/>
      <c r="J63" s="194"/>
      <c r="K63" s="194"/>
    </row>
    <row r="64" spans="1:11">
      <c r="A64" s="216" t="s">
        <v>160</v>
      </c>
      <c r="B64" s="194" t="s">
        <v>97</v>
      </c>
      <c r="C64" s="237">
        <v>11</v>
      </c>
      <c r="D64" s="237">
        <v>11</v>
      </c>
      <c r="E64" s="237">
        <v>11</v>
      </c>
      <c r="F64" s="237">
        <v>11</v>
      </c>
      <c r="G64" s="237">
        <v>11</v>
      </c>
      <c r="H64" s="237">
        <v>11</v>
      </c>
      <c r="I64" s="194"/>
      <c r="J64" s="194"/>
      <c r="K64" s="194"/>
    </row>
    <row r="65" spans="1:11">
      <c r="A65" s="216" t="s">
        <v>160</v>
      </c>
      <c r="B65" s="194" t="s">
        <v>98</v>
      </c>
      <c r="C65" s="237">
        <v>10</v>
      </c>
      <c r="D65" s="237">
        <v>10</v>
      </c>
      <c r="E65" s="237">
        <v>10</v>
      </c>
      <c r="F65" s="237">
        <v>10</v>
      </c>
      <c r="G65" s="237">
        <v>10</v>
      </c>
      <c r="H65" s="237">
        <v>10</v>
      </c>
      <c r="I65" s="194"/>
      <c r="J65" s="194"/>
      <c r="K65" s="194"/>
    </row>
    <row r="66" spans="1:11">
      <c r="A66" s="216" t="s">
        <v>160</v>
      </c>
      <c r="B66" s="194" t="s">
        <v>137</v>
      </c>
      <c r="C66" s="250">
        <v>1452</v>
      </c>
      <c r="D66" s="250">
        <v>1452</v>
      </c>
      <c r="E66" s="250">
        <v>1452</v>
      </c>
      <c r="F66" s="250">
        <v>1452</v>
      </c>
      <c r="G66" s="250">
        <v>1452</v>
      </c>
      <c r="H66" s="250">
        <v>1452</v>
      </c>
      <c r="I66" s="194"/>
      <c r="J66" s="194"/>
      <c r="K66" s="194"/>
    </row>
    <row r="67" spans="1:11">
      <c r="A67" s="241" t="s">
        <v>160</v>
      </c>
      <c r="B67" s="242" t="s">
        <v>100</v>
      </c>
      <c r="C67" s="245">
        <v>100</v>
      </c>
      <c r="D67" s="245">
        <v>100</v>
      </c>
      <c r="E67" s="245">
        <v>100</v>
      </c>
      <c r="F67" s="245">
        <v>100</v>
      </c>
      <c r="G67" s="245">
        <v>100</v>
      </c>
      <c r="H67" s="245">
        <v>100</v>
      </c>
      <c r="I67" s="242"/>
      <c r="J67" s="194"/>
      <c r="K67" s="194"/>
    </row>
  </sheetData>
  <phoneticPr fontId="39" type="noConversion"/>
  <pageMargins left="0.7" right="0.7" top="0.75" bottom="0.75" header="0.3" footer="0.3"/>
  <pageSetup orientation="portrait" horizontalDpi="1200" verticalDpi="1200"/>
  <ignoredErrors>
    <ignoredError sqref="C16" formulaRange="1"/>
  </ignoredErrors>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dimension ref="B1:Y50"/>
  <sheetViews>
    <sheetView zoomScaleNormal="100" workbookViewId="0">
      <selection activeCell="E9" sqref="E9"/>
    </sheetView>
  </sheetViews>
  <sheetFormatPr defaultColWidth="8.85546875" defaultRowHeight="15"/>
  <cols>
    <col min="1" max="1" width="4.140625" style="105" customWidth="1"/>
    <col min="2" max="2" width="9.140625" style="384" customWidth="1"/>
    <col min="3" max="4" width="14" style="105" customWidth="1"/>
    <col min="5" max="6" width="14.140625" style="383" customWidth="1"/>
    <col min="7" max="7" width="8.85546875" style="105"/>
    <col min="8" max="8" width="9.140625" style="384" customWidth="1"/>
    <col min="9" max="10" width="14" style="105" customWidth="1"/>
    <col min="11" max="12" width="14.140625" style="383" customWidth="1"/>
    <col min="13" max="13" width="21.5703125" style="105" customWidth="1"/>
    <col min="14" max="15" width="8.85546875" style="105"/>
    <col min="16" max="16" width="17.28515625" style="384" customWidth="1"/>
    <col min="17" max="18" width="14" style="105" customWidth="1"/>
    <col min="19" max="20" width="14.140625" style="383" customWidth="1"/>
    <col min="21" max="21" width="21.5703125" style="105" customWidth="1"/>
    <col min="22" max="257" width="8.85546875" style="105"/>
    <col min="258" max="258" width="4.140625" style="105" customWidth="1"/>
    <col min="259" max="259" width="7.28515625" style="105" customWidth="1"/>
    <col min="260" max="261" width="14" style="105" customWidth="1"/>
    <col min="262" max="262" width="14.140625" style="105" customWidth="1"/>
    <col min="263" max="513" width="8.85546875" style="105"/>
    <col min="514" max="514" width="4.140625" style="105" customWidth="1"/>
    <col min="515" max="515" width="7.28515625" style="105" customWidth="1"/>
    <col min="516" max="517" width="14" style="105" customWidth="1"/>
    <col min="518" max="518" width="14.140625" style="105" customWidth="1"/>
    <col min="519" max="769" width="8.85546875" style="105"/>
    <col min="770" max="770" width="4.140625" style="105" customWidth="1"/>
    <col min="771" max="771" width="7.28515625" style="105" customWidth="1"/>
    <col min="772" max="773" width="14" style="105" customWidth="1"/>
    <col min="774" max="774" width="14.140625" style="105" customWidth="1"/>
    <col min="775" max="1025" width="8.85546875" style="105"/>
    <col min="1026" max="1026" width="4.140625" style="105" customWidth="1"/>
    <col min="1027" max="1027" width="7.28515625" style="105" customWidth="1"/>
    <col min="1028" max="1029" width="14" style="105" customWidth="1"/>
    <col min="1030" max="1030" width="14.140625" style="105" customWidth="1"/>
    <col min="1031" max="1281" width="8.85546875" style="105"/>
    <col min="1282" max="1282" width="4.140625" style="105" customWidth="1"/>
    <col min="1283" max="1283" width="7.28515625" style="105" customWidth="1"/>
    <col min="1284" max="1285" width="14" style="105" customWidth="1"/>
    <col min="1286" max="1286" width="14.140625" style="105" customWidth="1"/>
    <col min="1287" max="1537" width="8.85546875" style="105"/>
    <col min="1538" max="1538" width="4.140625" style="105" customWidth="1"/>
    <col min="1539" max="1539" width="7.28515625" style="105" customWidth="1"/>
    <col min="1540" max="1541" width="14" style="105" customWidth="1"/>
    <col min="1542" max="1542" width="14.140625" style="105" customWidth="1"/>
    <col min="1543" max="1793" width="8.85546875" style="105"/>
    <col min="1794" max="1794" width="4.140625" style="105" customWidth="1"/>
    <col min="1795" max="1795" width="7.28515625" style="105" customWidth="1"/>
    <col min="1796" max="1797" width="14" style="105" customWidth="1"/>
    <col min="1798" max="1798" width="14.140625" style="105" customWidth="1"/>
    <col min="1799" max="2049" width="8.85546875" style="105"/>
    <col min="2050" max="2050" width="4.140625" style="105" customWidth="1"/>
    <col min="2051" max="2051" width="7.28515625" style="105" customWidth="1"/>
    <col min="2052" max="2053" width="14" style="105" customWidth="1"/>
    <col min="2054" max="2054" width="14.140625" style="105" customWidth="1"/>
    <col min="2055" max="2305" width="8.85546875" style="105"/>
    <col min="2306" max="2306" width="4.140625" style="105" customWidth="1"/>
    <col min="2307" max="2307" width="7.28515625" style="105" customWidth="1"/>
    <col min="2308" max="2309" width="14" style="105" customWidth="1"/>
    <col min="2310" max="2310" width="14.140625" style="105" customWidth="1"/>
    <col min="2311" max="2561" width="8.85546875" style="105"/>
    <col min="2562" max="2562" width="4.140625" style="105" customWidth="1"/>
    <col min="2563" max="2563" width="7.28515625" style="105" customWidth="1"/>
    <col min="2564" max="2565" width="14" style="105" customWidth="1"/>
    <col min="2566" max="2566" width="14.140625" style="105" customWidth="1"/>
    <col min="2567" max="2817" width="8.85546875" style="105"/>
    <col min="2818" max="2818" width="4.140625" style="105" customWidth="1"/>
    <col min="2819" max="2819" width="7.28515625" style="105" customWidth="1"/>
    <col min="2820" max="2821" width="14" style="105" customWidth="1"/>
    <col min="2822" max="2822" width="14.140625" style="105" customWidth="1"/>
    <col min="2823" max="3073" width="8.85546875" style="105"/>
    <col min="3074" max="3074" width="4.140625" style="105" customWidth="1"/>
    <col min="3075" max="3075" width="7.28515625" style="105" customWidth="1"/>
    <col min="3076" max="3077" width="14" style="105" customWidth="1"/>
    <col min="3078" max="3078" width="14.140625" style="105" customWidth="1"/>
    <col min="3079" max="3329" width="8.85546875" style="105"/>
    <col min="3330" max="3330" width="4.140625" style="105" customWidth="1"/>
    <col min="3331" max="3331" width="7.28515625" style="105" customWidth="1"/>
    <col min="3332" max="3333" width="14" style="105" customWidth="1"/>
    <col min="3334" max="3334" width="14.140625" style="105" customWidth="1"/>
    <col min="3335" max="3585" width="8.85546875" style="105"/>
    <col min="3586" max="3586" width="4.140625" style="105" customWidth="1"/>
    <col min="3587" max="3587" width="7.28515625" style="105" customWidth="1"/>
    <col min="3588" max="3589" width="14" style="105" customWidth="1"/>
    <col min="3590" max="3590" width="14.140625" style="105" customWidth="1"/>
    <col min="3591" max="3841" width="8.85546875" style="105"/>
    <col min="3842" max="3842" width="4.140625" style="105" customWidth="1"/>
    <col min="3843" max="3843" width="7.28515625" style="105" customWidth="1"/>
    <col min="3844" max="3845" width="14" style="105" customWidth="1"/>
    <col min="3846" max="3846" width="14.140625" style="105" customWidth="1"/>
    <col min="3847" max="4097" width="8.85546875" style="105"/>
    <col min="4098" max="4098" width="4.140625" style="105" customWidth="1"/>
    <col min="4099" max="4099" width="7.28515625" style="105" customWidth="1"/>
    <col min="4100" max="4101" width="14" style="105" customWidth="1"/>
    <col min="4102" max="4102" width="14.140625" style="105" customWidth="1"/>
    <col min="4103" max="4353" width="8.85546875" style="105"/>
    <col min="4354" max="4354" width="4.140625" style="105" customWidth="1"/>
    <col min="4355" max="4355" width="7.28515625" style="105" customWidth="1"/>
    <col min="4356" max="4357" width="14" style="105" customWidth="1"/>
    <col min="4358" max="4358" width="14.140625" style="105" customWidth="1"/>
    <col min="4359" max="4609" width="8.85546875" style="105"/>
    <col min="4610" max="4610" width="4.140625" style="105" customWidth="1"/>
    <col min="4611" max="4611" width="7.28515625" style="105" customWidth="1"/>
    <col min="4612" max="4613" width="14" style="105" customWidth="1"/>
    <col min="4614" max="4614" width="14.140625" style="105" customWidth="1"/>
    <col min="4615" max="4865" width="8.85546875" style="105"/>
    <col min="4866" max="4866" width="4.140625" style="105" customWidth="1"/>
    <col min="4867" max="4867" width="7.28515625" style="105" customWidth="1"/>
    <col min="4868" max="4869" width="14" style="105" customWidth="1"/>
    <col min="4870" max="4870" width="14.140625" style="105" customWidth="1"/>
    <col min="4871" max="5121" width="8.85546875" style="105"/>
    <col min="5122" max="5122" width="4.140625" style="105" customWidth="1"/>
    <col min="5123" max="5123" width="7.28515625" style="105" customWidth="1"/>
    <col min="5124" max="5125" width="14" style="105" customWidth="1"/>
    <col min="5126" max="5126" width="14.140625" style="105" customWidth="1"/>
    <col min="5127" max="5377" width="8.85546875" style="105"/>
    <col min="5378" max="5378" width="4.140625" style="105" customWidth="1"/>
    <col min="5379" max="5379" width="7.28515625" style="105" customWidth="1"/>
    <col min="5380" max="5381" width="14" style="105" customWidth="1"/>
    <col min="5382" max="5382" width="14.140625" style="105" customWidth="1"/>
    <col min="5383" max="5633" width="8.85546875" style="105"/>
    <col min="5634" max="5634" width="4.140625" style="105" customWidth="1"/>
    <col min="5635" max="5635" width="7.28515625" style="105" customWidth="1"/>
    <col min="5636" max="5637" width="14" style="105" customWidth="1"/>
    <col min="5638" max="5638" width="14.140625" style="105" customWidth="1"/>
    <col min="5639" max="5889" width="8.85546875" style="105"/>
    <col min="5890" max="5890" width="4.140625" style="105" customWidth="1"/>
    <col min="5891" max="5891" width="7.28515625" style="105" customWidth="1"/>
    <col min="5892" max="5893" width="14" style="105" customWidth="1"/>
    <col min="5894" max="5894" width="14.140625" style="105" customWidth="1"/>
    <col min="5895" max="6145" width="8.85546875" style="105"/>
    <col min="6146" max="6146" width="4.140625" style="105" customWidth="1"/>
    <col min="6147" max="6147" width="7.28515625" style="105" customWidth="1"/>
    <col min="6148" max="6149" width="14" style="105" customWidth="1"/>
    <col min="6150" max="6150" width="14.140625" style="105" customWidth="1"/>
    <col min="6151" max="6401" width="8.85546875" style="105"/>
    <col min="6402" max="6402" width="4.140625" style="105" customWidth="1"/>
    <col min="6403" max="6403" width="7.28515625" style="105" customWidth="1"/>
    <col min="6404" max="6405" width="14" style="105" customWidth="1"/>
    <col min="6406" max="6406" width="14.140625" style="105" customWidth="1"/>
    <col min="6407" max="6657" width="8.85546875" style="105"/>
    <col min="6658" max="6658" width="4.140625" style="105" customWidth="1"/>
    <col min="6659" max="6659" width="7.28515625" style="105" customWidth="1"/>
    <col min="6660" max="6661" width="14" style="105" customWidth="1"/>
    <col min="6662" max="6662" width="14.140625" style="105" customWidth="1"/>
    <col min="6663" max="6913" width="8.85546875" style="105"/>
    <col min="6914" max="6914" width="4.140625" style="105" customWidth="1"/>
    <col min="6915" max="6915" width="7.28515625" style="105" customWidth="1"/>
    <col min="6916" max="6917" width="14" style="105" customWidth="1"/>
    <col min="6918" max="6918" width="14.140625" style="105" customWidth="1"/>
    <col min="6919" max="7169" width="8.85546875" style="105"/>
    <col min="7170" max="7170" width="4.140625" style="105" customWidth="1"/>
    <col min="7171" max="7171" width="7.28515625" style="105" customWidth="1"/>
    <col min="7172" max="7173" width="14" style="105" customWidth="1"/>
    <col min="7174" max="7174" width="14.140625" style="105" customWidth="1"/>
    <col min="7175" max="7425" width="8.85546875" style="105"/>
    <col min="7426" max="7426" width="4.140625" style="105" customWidth="1"/>
    <col min="7427" max="7427" width="7.28515625" style="105" customWidth="1"/>
    <col min="7428" max="7429" width="14" style="105" customWidth="1"/>
    <col min="7430" max="7430" width="14.140625" style="105" customWidth="1"/>
    <col min="7431" max="7681" width="8.85546875" style="105"/>
    <col min="7682" max="7682" width="4.140625" style="105" customWidth="1"/>
    <col min="7683" max="7683" width="7.28515625" style="105" customWidth="1"/>
    <col min="7684" max="7685" width="14" style="105" customWidth="1"/>
    <col min="7686" max="7686" width="14.140625" style="105" customWidth="1"/>
    <col min="7687" max="7937" width="8.85546875" style="105"/>
    <col min="7938" max="7938" width="4.140625" style="105" customWidth="1"/>
    <col min="7939" max="7939" width="7.28515625" style="105" customWidth="1"/>
    <col min="7940" max="7941" width="14" style="105" customWidth="1"/>
    <col min="7942" max="7942" width="14.140625" style="105" customWidth="1"/>
    <col min="7943" max="8193" width="8.85546875" style="105"/>
    <col min="8194" max="8194" width="4.140625" style="105" customWidth="1"/>
    <col min="8195" max="8195" width="7.28515625" style="105" customWidth="1"/>
    <col min="8196" max="8197" width="14" style="105" customWidth="1"/>
    <col min="8198" max="8198" width="14.140625" style="105" customWidth="1"/>
    <col min="8199" max="8449" width="8.85546875" style="105"/>
    <col min="8450" max="8450" width="4.140625" style="105" customWidth="1"/>
    <col min="8451" max="8451" width="7.28515625" style="105" customWidth="1"/>
    <col min="8452" max="8453" width="14" style="105" customWidth="1"/>
    <col min="8454" max="8454" width="14.140625" style="105" customWidth="1"/>
    <col min="8455" max="8705" width="8.85546875" style="105"/>
    <col min="8706" max="8706" width="4.140625" style="105" customWidth="1"/>
    <col min="8707" max="8707" width="7.28515625" style="105" customWidth="1"/>
    <col min="8708" max="8709" width="14" style="105" customWidth="1"/>
    <col min="8710" max="8710" width="14.140625" style="105" customWidth="1"/>
    <col min="8711" max="8961" width="8.85546875" style="105"/>
    <col min="8962" max="8962" width="4.140625" style="105" customWidth="1"/>
    <col min="8963" max="8963" width="7.28515625" style="105" customWidth="1"/>
    <col min="8964" max="8965" width="14" style="105" customWidth="1"/>
    <col min="8966" max="8966" width="14.140625" style="105" customWidth="1"/>
    <col min="8967" max="9217" width="8.85546875" style="105"/>
    <col min="9218" max="9218" width="4.140625" style="105" customWidth="1"/>
    <col min="9219" max="9219" width="7.28515625" style="105" customWidth="1"/>
    <col min="9220" max="9221" width="14" style="105" customWidth="1"/>
    <col min="9222" max="9222" width="14.140625" style="105" customWidth="1"/>
    <col min="9223" max="9473" width="8.85546875" style="105"/>
    <col min="9474" max="9474" width="4.140625" style="105" customWidth="1"/>
    <col min="9475" max="9475" width="7.28515625" style="105" customWidth="1"/>
    <col min="9476" max="9477" width="14" style="105" customWidth="1"/>
    <col min="9478" max="9478" width="14.140625" style="105" customWidth="1"/>
    <col min="9479" max="9729" width="8.85546875" style="105"/>
    <col min="9730" max="9730" width="4.140625" style="105" customWidth="1"/>
    <col min="9731" max="9731" width="7.28515625" style="105" customWidth="1"/>
    <col min="9732" max="9733" width="14" style="105" customWidth="1"/>
    <col min="9734" max="9734" width="14.140625" style="105" customWidth="1"/>
    <col min="9735" max="9985" width="8.85546875" style="105"/>
    <col min="9986" max="9986" width="4.140625" style="105" customWidth="1"/>
    <col min="9987" max="9987" width="7.28515625" style="105" customWidth="1"/>
    <col min="9988" max="9989" width="14" style="105" customWidth="1"/>
    <col min="9990" max="9990" width="14.140625" style="105" customWidth="1"/>
    <col min="9991" max="10241" width="8.85546875" style="105"/>
    <col min="10242" max="10242" width="4.140625" style="105" customWidth="1"/>
    <col min="10243" max="10243" width="7.28515625" style="105" customWidth="1"/>
    <col min="10244" max="10245" width="14" style="105" customWidth="1"/>
    <col min="10246" max="10246" width="14.140625" style="105" customWidth="1"/>
    <col min="10247" max="10497" width="8.85546875" style="105"/>
    <col min="10498" max="10498" width="4.140625" style="105" customWidth="1"/>
    <col min="10499" max="10499" width="7.28515625" style="105" customWidth="1"/>
    <col min="10500" max="10501" width="14" style="105" customWidth="1"/>
    <col min="10502" max="10502" width="14.140625" style="105" customWidth="1"/>
    <col min="10503" max="10753" width="8.85546875" style="105"/>
    <col min="10754" max="10754" width="4.140625" style="105" customWidth="1"/>
    <col min="10755" max="10755" width="7.28515625" style="105" customWidth="1"/>
    <col min="10756" max="10757" width="14" style="105" customWidth="1"/>
    <col min="10758" max="10758" width="14.140625" style="105" customWidth="1"/>
    <col min="10759" max="11009" width="8.85546875" style="105"/>
    <col min="11010" max="11010" width="4.140625" style="105" customWidth="1"/>
    <col min="11011" max="11011" width="7.28515625" style="105" customWidth="1"/>
    <col min="11012" max="11013" width="14" style="105" customWidth="1"/>
    <col min="11014" max="11014" width="14.140625" style="105" customWidth="1"/>
    <col min="11015" max="11265" width="8.85546875" style="105"/>
    <col min="11266" max="11266" width="4.140625" style="105" customWidth="1"/>
    <col min="11267" max="11267" width="7.28515625" style="105" customWidth="1"/>
    <col min="11268" max="11269" width="14" style="105" customWidth="1"/>
    <col min="11270" max="11270" width="14.140625" style="105" customWidth="1"/>
    <col min="11271" max="11521" width="8.85546875" style="105"/>
    <col min="11522" max="11522" width="4.140625" style="105" customWidth="1"/>
    <col min="11523" max="11523" width="7.28515625" style="105" customWidth="1"/>
    <col min="11524" max="11525" width="14" style="105" customWidth="1"/>
    <col min="11526" max="11526" width="14.140625" style="105" customWidth="1"/>
    <col min="11527" max="11777" width="8.85546875" style="105"/>
    <col min="11778" max="11778" width="4.140625" style="105" customWidth="1"/>
    <col min="11779" max="11779" width="7.28515625" style="105" customWidth="1"/>
    <col min="11780" max="11781" width="14" style="105" customWidth="1"/>
    <col min="11782" max="11782" width="14.140625" style="105" customWidth="1"/>
    <col min="11783" max="12033" width="8.85546875" style="105"/>
    <col min="12034" max="12034" width="4.140625" style="105" customWidth="1"/>
    <col min="12035" max="12035" width="7.28515625" style="105" customWidth="1"/>
    <col min="12036" max="12037" width="14" style="105" customWidth="1"/>
    <col min="12038" max="12038" width="14.140625" style="105" customWidth="1"/>
    <col min="12039" max="12289" width="8.85546875" style="105"/>
    <col min="12290" max="12290" width="4.140625" style="105" customWidth="1"/>
    <col min="12291" max="12291" width="7.28515625" style="105" customWidth="1"/>
    <col min="12292" max="12293" width="14" style="105" customWidth="1"/>
    <col min="12294" max="12294" width="14.140625" style="105" customWidth="1"/>
    <col min="12295" max="12545" width="8.85546875" style="105"/>
    <col min="12546" max="12546" width="4.140625" style="105" customWidth="1"/>
    <col min="12547" max="12547" width="7.28515625" style="105" customWidth="1"/>
    <col min="12548" max="12549" width="14" style="105" customWidth="1"/>
    <col min="12550" max="12550" width="14.140625" style="105" customWidth="1"/>
    <col min="12551" max="12801" width="8.85546875" style="105"/>
    <col min="12802" max="12802" width="4.140625" style="105" customWidth="1"/>
    <col min="12803" max="12803" width="7.28515625" style="105" customWidth="1"/>
    <col min="12804" max="12805" width="14" style="105" customWidth="1"/>
    <col min="12806" max="12806" width="14.140625" style="105" customWidth="1"/>
    <col min="12807" max="13057" width="8.85546875" style="105"/>
    <col min="13058" max="13058" width="4.140625" style="105" customWidth="1"/>
    <col min="13059" max="13059" width="7.28515625" style="105" customWidth="1"/>
    <col min="13060" max="13061" width="14" style="105" customWidth="1"/>
    <col min="13062" max="13062" width="14.140625" style="105" customWidth="1"/>
    <col min="13063" max="13313" width="8.85546875" style="105"/>
    <col min="13314" max="13314" width="4.140625" style="105" customWidth="1"/>
    <col min="13315" max="13315" width="7.28515625" style="105" customWidth="1"/>
    <col min="13316" max="13317" width="14" style="105" customWidth="1"/>
    <col min="13318" max="13318" width="14.140625" style="105" customWidth="1"/>
    <col min="13319" max="13569" width="8.85546875" style="105"/>
    <col min="13570" max="13570" width="4.140625" style="105" customWidth="1"/>
    <col min="13571" max="13571" width="7.28515625" style="105" customWidth="1"/>
    <col min="13572" max="13573" width="14" style="105" customWidth="1"/>
    <col min="13574" max="13574" width="14.140625" style="105" customWidth="1"/>
    <col min="13575" max="13825" width="8.85546875" style="105"/>
    <col min="13826" max="13826" width="4.140625" style="105" customWidth="1"/>
    <col min="13827" max="13827" width="7.28515625" style="105" customWidth="1"/>
    <col min="13828" max="13829" width="14" style="105" customWidth="1"/>
    <col min="13830" max="13830" width="14.140625" style="105" customWidth="1"/>
    <col min="13831" max="14081" width="8.85546875" style="105"/>
    <col min="14082" max="14082" width="4.140625" style="105" customWidth="1"/>
    <col min="14083" max="14083" width="7.28515625" style="105" customWidth="1"/>
    <col min="14084" max="14085" width="14" style="105" customWidth="1"/>
    <col min="14086" max="14086" width="14.140625" style="105" customWidth="1"/>
    <col min="14087" max="14337" width="8.85546875" style="105"/>
    <col min="14338" max="14338" width="4.140625" style="105" customWidth="1"/>
    <col min="14339" max="14339" width="7.28515625" style="105" customWidth="1"/>
    <col min="14340" max="14341" width="14" style="105" customWidth="1"/>
    <col min="14342" max="14342" width="14.140625" style="105" customWidth="1"/>
    <col min="14343" max="14593" width="8.85546875" style="105"/>
    <col min="14594" max="14594" width="4.140625" style="105" customWidth="1"/>
    <col min="14595" max="14595" width="7.28515625" style="105" customWidth="1"/>
    <col min="14596" max="14597" width="14" style="105" customWidth="1"/>
    <col min="14598" max="14598" width="14.140625" style="105" customWidth="1"/>
    <col min="14599" max="14849" width="8.85546875" style="105"/>
    <col min="14850" max="14850" width="4.140625" style="105" customWidth="1"/>
    <col min="14851" max="14851" width="7.28515625" style="105" customWidth="1"/>
    <col min="14852" max="14853" width="14" style="105" customWidth="1"/>
    <col min="14854" max="14854" width="14.140625" style="105" customWidth="1"/>
    <col min="14855" max="15105" width="8.85546875" style="105"/>
    <col min="15106" max="15106" width="4.140625" style="105" customWidth="1"/>
    <col min="15107" max="15107" width="7.28515625" style="105" customWidth="1"/>
    <col min="15108" max="15109" width="14" style="105" customWidth="1"/>
    <col min="15110" max="15110" width="14.140625" style="105" customWidth="1"/>
    <col min="15111" max="15361" width="8.85546875" style="105"/>
    <col min="15362" max="15362" width="4.140625" style="105" customWidth="1"/>
    <col min="15363" max="15363" width="7.28515625" style="105" customWidth="1"/>
    <col min="15364" max="15365" width="14" style="105" customWidth="1"/>
    <col min="15366" max="15366" width="14.140625" style="105" customWidth="1"/>
    <col min="15367" max="15617" width="8.85546875" style="105"/>
    <col min="15618" max="15618" width="4.140625" style="105" customWidth="1"/>
    <col min="15619" max="15619" width="7.28515625" style="105" customWidth="1"/>
    <col min="15620" max="15621" width="14" style="105" customWidth="1"/>
    <col min="15622" max="15622" width="14.140625" style="105" customWidth="1"/>
    <col min="15623" max="15873" width="8.85546875" style="105"/>
    <col min="15874" max="15874" width="4.140625" style="105" customWidth="1"/>
    <col min="15875" max="15875" width="7.28515625" style="105" customWidth="1"/>
    <col min="15876" max="15877" width="14" style="105" customWidth="1"/>
    <col min="15878" max="15878" width="14.140625" style="105" customWidth="1"/>
    <col min="15879" max="16129" width="8.85546875" style="105"/>
    <col min="16130" max="16130" width="4.140625" style="105" customWidth="1"/>
    <col min="16131" max="16131" width="7.28515625" style="105" customWidth="1"/>
    <col min="16132" max="16133" width="14" style="105" customWidth="1"/>
    <col min="16134" max="16134" width="14.140625" style="105" customWidth="1"/>
    <col min="16135" max="16384" width="8.85546875" style="105"/>
  </cols>
  <sheetData>
    <row r="1" spans="2:25" ht="18.75">
      <c r="B1" s="368" t="s">
        <v>357</v>
      </c>
    </row>
    <row r="2" spans="2:25" ht="15.75">
      <c r="B2" s="381" t="s">
        <v>148</v>
      </c>
      <c r="D2" s="382"/>
      <c r="E2" s="105"/>
      <c r="F2" s="105"/>
      <c r="G2" s="383"/>
      <c r="H2" s="383"/>
      <c r="I2" s="383"/>
      <c r="K2" s="384"/>
      <c r="L2" s="384"/>
      <c r="O2" s="383"/>
      <c r="P2" s="383"/>
      <c r="R2" s="383"/>
      <c r="T2" s="384"/>
      <c r="U2" s="384"/>
      <c r="X2" s="383"/>
      <c r="Y2" s="383"/>
    </row>
    <row r="3" spans="2:25">
      <c r="B3" s="385" t="s">
        <v>385</v>
      </c>
      <c r="D3" s="382"/>
      <c r="E3" s="105"/>
      <c r="F3" s="105"/>
      <c r="G3" s="383"/>
      <c r="H3" s="383"/>
      <c r="I3" s="383"/>
      <c r="K3" s="384"/>
      <c r="L3" s="384"/>
      <c r="O3" s="383"/>
      <c r="P3" s="383"/>
      <c r="R3" s="383"/>
      <c r="T3" s="384"/>
      <c r="U3" s="384"/>
      <c r="X3" s="383"/>
      <c r="Y3" s="383"/>
    </row>
    <row r="4" spans="2:25">
      <c r="B4" s="385" t="s">
        <v>386</v>
      </c>
      <c r="D4" s="382"/>
      <c r="E4" s="105"/>
      <c r="F4" s="105"/>
      <c r="G4" s="383"/>
      <c r="H4" s="383"/>
      <c r="I4" s="383"/>
      <c r="K4" s="384"/>
      <c r="L4" s="384"/>
      <c r="O4" s="383"/>
      <c r="P4" s="383"/>
      <c r="R4" s="383"/>
      <c r="T4" s="384"/>
      <c r="U4" s="384"/>
      <c r="X4" s="383"/>
      <c r="Y4" s="383"/>
    </row>
    <row r="5" spans="2:25">
      <c r="B5" s="385" t="s">
        <v>387</v>
      </c>
      <c r="D5" s="382"/>
      <c r="E5" s="105"/>
      <c r="F5" s="105"/>
      <c r="G5" s="383"/>
      <c r="H5" s="383"/>
      <c r="I5" s="383"/>
      <c r="K5" s="384"/>
      <c r="L5" s="384"/>
      <c r="O5" s="383"/>
      <c r="P5" s="383"/>
      <c r="R5" s="383"/>
      <c r="T5" s="384"/>
      <c r="U5" s="384"/>
      <c r="X5" s="383"/>
      <c r="Y5" s="383"/>
    </row>
    <row r="6" spans="2:25">
      <c r="B6" s="385" t="s">
        <v>388</v>
      </c>
      <c r="D6" s="382"/>
      <c r="E6" s="105"/>
      <c r="F6" s="105"/>
      <c r="G6" s="383"/>
      <c r="H6" s="383"/>
      <c r="I6" s="383"/>
      <c r="K6" s="384"/>
      <c r="L6" s="384"/>
      <c r="O6" s="383"/>
      <c r="P6" s="383"/>
      <c r="R6" s="383"/>
      <c r="T6" s="384"/>
      <c r="U6" s="384"/>
      <c r="X6" s="383"/>
      <c r="Y6" s="383"/>
    </row>
    <row r="7" spans="2:25" ht="18.75">
      <c r="B7" s="368"/>
    </row>
    <row r="8" spans="2:25" ht="15" customHeight="1">
      <c r="B8" s="393" t="s">
        <v>196</v>
      </c>
      <c r="C8" s="394"/>
      <c r="D8" s="394"/>
      <c r="E8" s="395"/>
      <c r="F8" s="395"/>
      <c r="H8" s="393" t="s">
        <v>288</v>
      </c>
      <c r="I8" s="178"/>
      <c r="J8" s="394"/>
      <c r="K8" s="396"/>
      <c r="L8" s="396"/>
      <c r="O8" s="393" t="s">
        <v>289</v>
      </c>
      <c r="P8" s="105"/>
      <c r="Q8" s="369"/>
      <c r="R8" s="178"/>
      <c r="S8" s="396"/>
      <c r="T8" s="396"/>
    </row>
    <row r="9" spans="2:25" ht="43.5">
      <c r="B9" s="386" t="s">
        <v>185</v>
      </c>
      <c r="C9" s="387" t="s">
        <v>186</v>
      </c>
      <c r="D9" s="388" t="s">
        <v>389</v>
      </c>
      <c r="E9" s="387" t="s">
        <v>187</v>
      </c>
      <c r="F9" s="389" t="s">
        <v>197</v>
      </c>
      <c r="H9" s="386" t="s">
        <v>185</v>
      </c>
      <c r="I9" s="390" t="s">
        <v>186</v>
      </c>
      <c r="J9" s="391" t="s">
        <v>390</v>
      </c>
      <c r="K9" s="390" t="s">
        <v>187</v>
      </c>
      <c r="L9" s="391" t="s">
        <v>197</v>
      </c>
      <c r="M9" s="392" t="s">
        <v>198</v>
      </c>
      <c r="O9" s="386" t="s">
        <v>185</v>
      </c>
      <c r="P9" s="390" t="s">
        <v>186</v>
      </c>
      <c r="Q9" s="388" t="s">
        <v>389</v>
      </c>
      <c r="R9" s="390" t="s">
        <v>187</v>
      </c>
      <c r="S9" s="391" t="s">
        <v>197</v>
      </c>
      <c r="T9" s="392" t="s">
        <v>198</v>
      </c>
    </row>
    <row r="10" spans="2:25" ht="16.5" customHeight="1">
      <c r="B10" s="397">
        <v>1</v>
      </c>
      <c r="C10" s="398">
        <v>0</v>
      </c>
      <c r="D10" s="399">
        <f>'Capital Req.'!C13-('Cider Apple Budget'!C31*F46)</f>
        <v>338108.80999999994</v>
      </c>
      <c r="E10" s="400">
        <f>C10-D10</f>
        <v>-338108.80999999994</v>
      </c>
      <c r="F10" s="401">
        <f t="shared" ref="F10:F34" si="0">E10/(1+$F$48)^B10</f>
        <v>-322008.39047619043</v>
      </c>
      <c r="H10" s="397">
        <f>B10</f>
        <v>1</v>
      </c>
      <c r="I10" s="398">
        <f>C10</f>
        <v>0</v>
      </c>
      <c r="J10" s="399">
        <f>('Cider Apple Budget'!C33-'Cider Apple Budget'!C31+'Cider Apple Budget'!C53+'Cider Apple Budget'!C54+'Cider Apple Budget'!C55)*$M$46</f>
        <v>138608.81</v>
      </c>
      <c r="K10" s="400">
        <f>I10-J10</f>
        <v>-138608.81</v>
      </c>
      <c r="L10" s="400">
        <f t="shared" ref="L10:L39" si="1">K10/(1+$M$48)^H10</f>
        <v>-132008.39047619046</v>
      </c>
      <c r="M10" s="402">
        <f>L10</f>
        <v>-132008.39047619046</v>
      </c>
      <c r="O10" s="397">
        <f>B10</f>
        <v>1</v>
      </c>
      <c r="P10" s="398">
        <f>C10</f>
        <v>0</v>
      </c>
      <c r="Q10" s="399">
        <f>D10</f>
        <v>338108.80999999994</v>
      </c>
      <c r="R10" s="400">
        <f>P10-Q10</f>
        <v>-338108.80999999994</v>
      </c>
      <c r="S10" s="400">
        <f t="shared" ref="S10:S39" si="2">R10/(1+$T$48)^O10</f>
        <v>-322008.39047619043</v>
      </c>
      <c r="T10" s="402">
        <f>S10</f>
        <v>-322008.39047619043</v>
      </c>
    </row>
    <row r="11" spans="2:25">
      <c r="B11" s="397">
        <f>1+B10</f>
        <v>2</v>
      </c>
      <c r="C11" s="398">
        <v>0</v>
      </c>
      <c r="D11" s="398">
        <f>'Capital Req.'!D13-('Cider Apple Budget'!D31*F46)</f>
        <v>31640</v>
      </c>
      <c r="E11" s="400">
        <f t="shared" ref="E11:E22" si="3">C11-D11</f>
        <v>-31640</v>
      </c>
      <c r="F11" s="401">
        <f t="shared" si="0"/>
        <v>-28698.412698412696</v>
      </c>
      <c r="H11" s="397">
        <f t="shared" ref="H11:H39" si="4">B11</f>
        <v>2</v>
      </c>
      <c r="I11" s="398">
        <f>C11</f>
        <v>0</v>
      </c>
      <c r="J11" s="399">
        <f>('Cider Apple Budget'!D33-'Cider Apple Budget'!D31+'Cider Apple Budget'!D53+'Cider Apple Budget'!D54+'Cider Apple Budget'!D55)*$M$46</f>
        <v>28640</v>
      </c>
      <c r="K11" s="400">
        <f t="shared" ref="K11:K39" si="5">I11-J11</f>
        <v>-28640</v>
      </c>
      <c r="L11" s="400">
        <f t="shared" si="1"/>
        <v>-25977.324263038547</v>
      </c>
      <c r="M11" s="402">
        <f>SUM(L$10:$L11)</f>
        <v>-157985.71473922901</v>
      </c>
      <c r="O11" s="397">
        <f t="shared" ref="O11:O39" si="6">B11</f>
        <v>2</v>
      </c>
      <c r="P11" s="398">
        <f t="shared" ref="P11:P34" si="7">C11</f>
        <v>0</v>
      </c>
      <c r="Q11" s="399">
        <f t="shared" ref="Q11:Q34" si="8">D11</f>
        <v>31640</v>
      </c>
      <c r="R11" s="400">
        <f t="shared" ref="R11:R34" si="9">P11-Q11</f>
        <v>-31640</v>
      </c>
      <c r="S11" s="400">
        <f t="shared" si="2"/>
        <v>-28698.412698412696</v>
      </c>
      <c r="T11" s="402">
        <f>SUM($S$10:S11)</f>
        <v>-350706.80317460315</v>
      </c>
    </row>
    <row r="12" spans="2:25">
      <c r="B12" s="397">
        <f t="shared" ref="B12:B39" si="10">1+B11</f>
        <v>3</v>
      </c>
      <c r="C12" s="398">
        <f>F41*F42*F46</f>
        <v>31500</v>
      </c>
      <c r="D12" s="398">
        <f>'Capital Req.'!E13-('Cider Apple Budget'!E31*F46)</f>
        <v>86176.4</v>
      </c>
      <c r="E12" s="400">
        <f t="shared" si="3"/>
        <v>-54676.399999999994</v>
      </c>
      <c r="F12" s="401">
        <f t="shared" si="0"/>
        <v>-47231.530072346388</v>
      </c>
      <c r="H12" s="397">
        <f t="shared" si="4"/>
        <v>3</v>
      </c>
      <c r="I12" s="398">
        <f>M41*M42*M46</f>
        <v>31500</v>
      </c>
      <c r="J12" s="399">
        <f>('Cider Apple Budget'!E33-'Cider Apple Budget'!E31+'Cider Apple Budget'!E53+'Cider Apple Budget'!E54+'Cider Apple Budget'!E55)*$M$46</f>
        <v>41886.800000000003</v>
      </c>
      <c r="K12" s="400">
        <f t="shared" si="5"/>
        <v>-10386.800000000003</v>
      </c>
      <c r="L12" s="400">
        <f t="shared" si="1"/>
        <v>-8972.5083684267374</v>
      </c>
      <c r="M12" s="402">
        <f>SUM(L$10:$L12)</f>
        <v>-166958.22310765574</v>
      </c>
      <c r="O12" s="397">
        <f t="shared" si="6"/>
        <v>3</v>
      </c>
      <c r="P12" s="398">
        <f t="shared" si="7"/>
        <v>31500</v>
      </c>
      <c r="Q12" s="399">
        <f t="shared" si="8"/>
        <v>86176.4</v>
      </c>
      <c r="R12" s="400">
        <f t="shared" si="9"/>
        <v>-54676.399999999994</v>
      </c>
      <c r="S12" s="400">
        <f t="shared" si="2"/>
        <v>-47231.530072346388</v>
      </c>
      <c r="T12" s="402">
        <f>SUM($S$10:S12)</f>
        <v>-397938.33324694954</v>
      </c>
    </row>
    <row r="13" spans="2:25">
      <c r="B13" s="397">
        <f t="shared" si="10"/>
        <v>4</v>
      </c>
      <c r="C13" s="398">
        <f>F41*F43*F46</f>
        <v>94500</v>
      </c>
      <c r="D13" s="398">
        <f>'Capital Req.'!F13-('Cider Apple Budget'!F31*F46)</f>
        <v>61681.55000000001</v>
      </c>
      <c r="E13" s="400">
        <f t="shared" si="3"/>
        <v>32818.44999999999</v>
      </c>
      <c r="F13" s="401">
        <f t="shared" si="0"/>
        <v>26999.820033833632</v>
      </c>
      <c r="H13" s="397">
        <f t="shared" si="4"/>
        <v>4</v>
      </c>
      <c r="I13" s="398">
        <f>M41*M43*M46</f>
        <v>94500</v>
      </c>
      <c r="J13" s="399">
        <f>('Cider Apple Budget'!F33-'Cider Apple Budget'!F31+'Cider Apple Budget'!F53+'Cider Apple Budget'!F54+'Cider Apple Budget'!F55)*$M$46</f>
        <v>58681.55</v>
      </c>
      <c r="K13" s="400">
        <f t="shared" si="5"/>
        <v>35818.449999999997</v>
      </c>
      <c r="L13" s="400">
        <f t="shared" si="1"/>
        <v>29467.927458209284</v>
      </c>
      <c r="M13" s="402">
        <f>SUM(L$10:$L13)</f>
        <v>-137490.29564944646</v>
      </c>
      <c r="O13" s="397">
        <f t="shared" si="6"/>
        <v>4</v>
      </c>
      <c r="P13" s="398">
        <f t="shared" si="7"/>
        <v>94500</v>
      </c>
      <c r="Q13" s="399">
        <f t="shared" si="8"/>
        <v>61681.55000000001</v>
      </c>
      <c r="R13" s="400">
        <f t="shared" si="9"/>
        <v>32818.44999999999</v>
      </c>
      <c r="S13" s="400">
        <f t="shared" si="2"/>
        <v>26999.820033833632</v>
      </c>
      <c r="T13" s="402">
        <f>SUM($S$10:S13)</f>
        <v>-370938.51321311592</v>
      </c>
    </row>
    <row r="14" spans="2:25">
      <c r="B14" s="397">
        <f t="shared" si="10"/>
        <v>5</v>
      </c>
      <c r="C14" s="398">
        <f>F41*F44*F46</f>
        <v>126000</v>
      </c>
      <c r="D14" s="398">
        <f>'Capital Req.'!G13-('Cider Apple Budget'!G31*F46)</f>
        <v>73735.55</v>
      </c>
      <c r="E14" s="400">
        <f t="shared" si="3"/>
        <v>52264.45</v>
      </c>
      <c r="F14" s="401">
        <f t="shared" si="0"/>
        <v>40950.56415108245</v>
      </c>
      <c r="H14" s="397">
        <f t="shared" si="4"/>
        <v>5</v>
      </c>
      <c r="I14" s="398">
        <f>M41*M44*M46</f>
        <v>126000</v>
      </c>
      <c r="J14" s="399">
        <f>('Cider Apple Budget'!G33-'Cider Apple Budget'!G31+'Cider Apple Budget'!G53+'Cider Apple Budget'!G54+'Cider Apple Budget'!G55)*M46</f>
        <v>70735.55</v>
      </c>
      <c r="K14" s="400">
        <f t="shared" si="5"/>
        <v>55264.45</v>
      </c>
      <c r="L14" s="400">
        <f t="shared" si="1"/>
        <v>43301.142650487825</v>
      </c>
      <c r="M14" s="402">
        <f>SUM(L$10:$L14)</f>
        <v>-94189.152998958627</v>
      </c>
      <c r="O14" s="397">
        <f t="shared" si="6"/>
        <v>5</v>
      </c>
      <c r="P14" s="398">
        <f t="shared" si="7"/>
        <v>126000</v>
      </c>
      <c r="Q14" s="399">
        <f t="shared" si="8"/>
        <v>73735.55</v>
      </c>
      <c r="R14" s="400">
        <f t="shared" si="9"/>
        <v>52264.45</v>
      </c>
      <c r="S14" s="400">
        <f t="shared" si="2"/>
        <v>40950.56415108245</v>
      </c>
      <c r="T14" s="402">
        <f>SUM($S$10:S14)</f>
        <v>-329987.94906203344</v>
      </c>
    </row>
    <row r="15" spans="2:25">
      <c r="B15" s="397">
        <f t="shared" si="10"/>
        <v>6</v>
      </c>
      <c r="C15" s="398">
        <f>F41*F45*F46</f>
        <v>157500</v>
      </c>
      <c r="D15" s="398">
        <f>'Capital Req.'!H13-('Cider Apple Budget'!H31*F46)</f>
        <v>83448.05</v>
      </c>
      <c r="E15" s="400">
        <f t="shared" si="3"/>
        <v>74051.95</v>
      </c>
      <c r="F15" s="401">
        <f t="shared" si="0"/>
        <v>55258.705240965719</v>
      </c>
      <c r="H15" s="397">
        <f t="shared" si="4"/>
        <v>6</v>
      </c>
      <c r="I15" s="398">
        <f>M41*M45*M46</f>
        <v>157500</v>
      </c>
      <c r="J15" s="399">
        <f>('Cider Apple Budget'!H33-'Cider Apple Budget'!H31+'Cider Apple Budget'!H53+'Cider Apple Budget'!H54+'Cider Apple Budget'!H55)*M46</f>
        <v>80448.05</v>
      </c>
      <c r="K15" s="400">
        <f t="shared" si="5"/>
        <v>77051.95</v>
      </c>
      <c r="L15" s="400">
        <f t="shared" si="1"/>
        <v>57497.351430875598</v>
      </c>
      <c r="M15" s="402">
        <f>SUM(L$10:$L15)</f>
        <v>-36691.801568083029</v>
      </c>
      <c r="O15" s="397">
        <f t="shared" si="6"/>
        <v>6</v>
      </c>
      <c r="P15" s="398">
        <f t="shared" si="7"/>
        <v>157500</v>
      </c>
      <c r="Q15" s="399">
        <f t="shared" si="8"/>
        <v>83448.05</v>
      </c>
      <c r="R15" s="400">
        <f t="shared" si="9"/>
        <v>74051.95</v>
      </c>
      <c r="S15" s="400">
        <f t="shared" si="2"/>
        <v>55258.705240965719</v>
      </c>
      <c r="T15" s="402">
        <f>SUM($S$10:S15)</f>
        <v>-274729.24382106774</v>
      </c>
    </row>
    <row r="16" spans="2:25">
      <c r="B16" s="397">
        <f t="shared" si="10"/>
        <v>7</v>
      </c>
      <c r="C16" s="398">
        <f t="shared" ref="C16:C39" si="11">$C$15</f>
        <v>157500</v>
      </c>
      <c r="D16" s="398">
        <f>$D$15</f>
        <v>83448.05</v>
      </c>
      <c r="E16" s="400">
        <f t="shared" si="3"/>
        <v>74051.95</v>
      </c>
      <c r="F16" s="401">
        <f t="shared" si="0"/>
        <v>52627.338324729244</v>
      </c>
      <c r="H16" s="397">
        <f t="shared" si="4"/>
        <v>7</v>
      </c>
      <c r="I16" s="398">
        <f>$I$15</f>
        <v>157500</v>
      </c>
      <c r="J16" s="399">
        <f>$J$15</f>
        <v>80448.05</v>
      </c>
      <c r="K16" s="400">
        <f t="shared" si="5"/>
        <v>77051.95</v>
      </c>
      <c r="L16" s="400">
        <f t="shared" si="1"/>
        <v>54759.382315119612</v>
      </c>
      <c r="M16" s="402">
        <f>SUM(L$10:$L16)</f>
        <v>18067.580747036583</v>
      </c>
      <c r="O16" s="397">
        <f t="shared" si="6"/>
        <v>7</v>
      </c>
      <c r="P16" s="398">
        <f t="shared" si="7"/>
        <v>157500</v>
      </c>
      <c r="Q16" s="399">
        <f t="shared" si="8"/>
        <v>83448.05</v>
      </c>
      <c r="R16" s="400">
        <f t="shared" si="9"/>
        <v>74051.95</v>
      </c>
      <c r="S16" s="400">
        <f t="shared" si="2"/>
        <v>52627.338324729244</v>
      </c>
      <c r="T16" s="402">
        <f>SUM($S$10:S16)</f>
        <v>-222101.9054963385</v>
      </c>
    </row>
    <row r="17" spans="2:20">
      <c r="B17" s="397">
        <f t="shared" si="10"/>
        <v>8</v>
      </c>
      <c r="C17" s="398">
        <f t="shared" si="11"/>
        <v>157500</v>
      </c>
      <c r="D17" s="398">
        <f t="shared" ref="D17:D39" si="12">$D$15</f>
        <v>83448.05</v>
      </c>
      <c r="E17" s="400">
        <f t="shared" si="3"/>
        <v>74051.95</v>
      </c>
      <c r="F17" s="401">
        <f t="shared" si="0"/>
        <v>50121.274594980241</v>
      </c>
      <c r="H17" s="397">
        <f t="shared" si="4"/>
        <v>8</v>
      </c>
      <c r="I17" s="398">
        <f t="shared" ref="I17:I39" si="13">$I$15</f>
        <v>157500</v>
      </c>
      <c r="J17" s="399">
        <f t="shared" ref="J17:J39" si="14">$J$15</f>
        <v>80448.05</v>
      </c>
      <c r="K17" s="400">
        <f t="shared" si="5"/>
        <v>77051.95</v>
      </c>
      <c r="L17" s="400">
        <f t="shared" si="1"/>
        <v>52151.792681066298</v>
      </c>
      <c r="M17" s="402">
        <f>SUM(L$10:$L17)</f>
        <v>70219.373428102874</v>
      </c>
      <c r="O17" s="397">
        <f t="shared" si="6"/>
        <v>8</v>
      </c>
      <c r="P17" s="398">
        <f t="shared" si="7"/>
        <v>157500</v>
      </c>
      <c r="Q17" s="399">
        <f t="shared" si="8"/>
        <v>83448.05</v>
      </c>
      <c r="R17" s="400">
        <f t="shared" si="9"/>
        <v>74051.95</v>
      </c>
      <c r="S17" s="400">
        <f t="shared" si="2"/>
        <v>50121.274594980241</v>
      </c>
      <c r="T17" s="402">
        <f>SUM($S$10:S17)</f>
        <v>-171980.63090135826</v>
      </c>
    </row>
    <row r="18" spans="2:20">
      <c r="B18" s="397">
        <f t="shared" si="10"/>
        <v>9</v>
      </c>
      <c r="C18" s="398">
        <f t="shared" si="11"/>
        <v>157500</v>
      </c>
      <c r="D18" s="398">
        <f t="shared" si="12"/>
        <v>83448.05</v>
      </c>
      <c r="E18" s="400">
        <f t="shared" si="3"/>
        <v>74051.95</v>
      </c>
      <c r="F18" s="401">
        <f t="shared" si="0"/>
        <v>47734.547233314508</v>
      </c>
      <c r="H18" s="397">
        <f t="shared" si="4"/>
        <v>9</v>
      </c>
      <c r="I18" s="398">
        <f t="shared" si="13"/>
        <v>157500</v>
      </c>
      <c r="J18" s="399">
        <f t="shared" si="14"/>
        <v>80448.05</v>
      </c>
      <c r="K18" s="400">
        <f t="shared" si="5"/>
        <v>77051.95</v>
      </c>
      <c r="L18" s="400">
        <f t="shared" si="1"/>
        <v>49668.373981967903</v>
      </c>
      <c r="M18" s="402">
        <f>SUM(L$10:$L18)</f>
        <v>119887.74741007078</v>
      </c>
      <c r="O18" s="397">
        <f t="shared" si="6"/>
        <v>9</v>
      </c>
      <c r="P18" s="398">
        <f t="shared" si="7"/>
        <v>157500</v>
      </c>
      <c r="Q18" s="399">
        <f t="shared" si="8"/>
        <v>83448.05</v>
      </c>
      <c r="R18" s="400">
        <f t="shared" si="9"/>
        <v>74051.95</v>
      </c>
      <c r="S18" s="400">
        <f t="shared" si="2"/>
        <v>47734.547233314508</v>
      </c>
      <c r="T18" s="402">
        <f>SUM($S$10:S18)</f>
        <v>-124246.08366804375</v>
      </c>
    </row>
    <row r="19" spans="2:20">
      <c r="B19" s="397">
        <f t="shared" si="10"/>
        <v>10</v>
      </c>
      <c r="C19" s="398">
        <f t="shared" si="11"/>
        <v>157500</v>
      </c>
      <c r="D19" s="398">
        <f t="shared" si="12"/>
        <v>83448.05</v>
      </c>
      <c r="E19" s="400">
        <f t="shared" si="3"/>
        <v>74051.95</v>
      </c>
      <c r="F19" s="401">
        <f t="shared" si="0"/>
        <v>45461.473555537632</v>
      </c>
      <c r="H19" s="397">
        <f t="shared" si="4"/>
        <v>10</v>
      </c>
      <c r="I19" s="398">
        <f t="shared" si="13"/>
        <v>157500</v>
      </c>
      <c r="J19" s="399">
        <f t="shared" si="14"/>
        <v>80448.05</v>
      </c>
      <c r="K19" s="400">
        <f t="shared" si="5"/>
        <v>77051.95</v>
      </c>
      <c r="L19" s="400">
        <f t="shared" si="1"/>
        <v>47303.213316159905</v>
      </c>
      <c r="M19" s="402">
        <f>SUM(L$10:$L19)</f>
        <v>167190.9607262307</v>
      </c>
      <c r="O19" s="397">
        <f t="shared" si="6"/>
        <v>10</v>
      </c>
      <c r="P19" s="398">
        <f t="shared" si="7"/>
        <v>157500</v>
      </c>
      <c r="Q19" s="399">
        <f t="shared" si="8"/>
        <v>83448.05</v>
      </c>
      <c r="R19" s="400">
        <f t="shared" si="9"/>
        <v>74051.95</v>
      </c>
      <c r="S19" s="400">
        <f t="shared" si="2"/>
        <v>45461.473555537632</v>
      </c>
      <c r="T19" s="402">
        <f>SUM($S$10:S19)</f>
        <v>-78784.61011250611</v>
      </c>
    </row>
    <row r="20" spans="2:20">
      <c r="B20" s="397">
        <f t="shared" si="10"/>
        <v>11</v>
      </c>
      <c r="C20" s="398">
        <f t="shared" si="11"/>
        <v>157500</v>
      </c>
      <c r="D20" s="398">
        <f t="shared" si="12"/>
        <v>83448.05</v>
      </c>
      <c r="E20" s="400">
        <f t="shared" si="3"/>
        <v>74051.95</v>
      </c>
      <c r="F20" s="401">
        <f t="shared" si="0"/>
        <v>43296.641481464409</v>
      </c>
      <c r="H20" s="397">
        <f t="shared" si="4"/>
        <v>11</v>
      </c>
      <c r="I20" s="398">
        <f t="shared" si="13"/>
        <v>157500</v>
      </c>
      <c r="J20" s="399">
        <f t="shared" si="14"/>
        <v>80448.05</v>
      </c>
      <c r="K20" s="400">
        <f t="shared" si="5"/>
        <v>77051.95</v>
      </c>
      <c r="L20" s="400">
        <f t="shared" si="1"/>
        <v>45050.679348723716</v>
      </c>
      <c r="M20" s="402">
        <f>SUM(L$10:$L20)</f>
        <v>212241.64007495443</v>
      </c>
      <c r="O20" s="397">
        <f t="shared" si="6"/>
        <v>11</v>
      </c>
      <c r="P20" s="398">
        <f t="shared" si="7"/>
        <v>157500</v>
      </c>
      <c r="Q20" s="399">
        <f t="shared" si="8"/>
        <v>83448.05</v>
      </c>
      <c r="R20" s="400">
        <f t="shared" si="9"/>
        <v>74051.95</v>
      </c>
      <c r="S20" s="400">
        <f t="shared" si="2"/>
        <v>43296.641481464409</v>
      </c>
      <c r="T20" s="402">
        <f>SUM($S$10:S20)</f>
        <v>-35487.968631041702</v>
      </c>
    </row>
    <row r="21" spans="2:20">
      <c r="B21" s="397">
        <f t="shared" si="10"/>
        <v>12</v>
      </c>
      <c r="C21" s="398">
        <f t="shared" si="11"/>
        <v>157500</v>
      </c>
      <c r="D21" s="398">
        <f t="shared" si="12"/>
        <v>83448.05</v>
      </c>
      <c r="E21" s="400">
        <f t="shared" si="3"/>
        <v>74051.95</v>
      </c>
      <c r="F21" s="401">
        <f t="shared" si="0"/>
        <v>41234.896649013725</v>
      </c>
      <c r="H21" s="397">
        <f t="shared" si="4"/>
        <v>12</v>
      </c>
      <c r="I21" s="398">
        <f t="shared" si="13"/>
        <v>157500</v>
      </c>
      <c r="J21" s="399">
        <f t="shared" si="14"/>
        <v>80448.05</v>
      </c>
      <c r="K21" s="400">
        <f t="shared" si="5"/>
        <v>77051.95</v>
      </c>
      <c r="L21" s="400">
        <f t="shared" si="1"/>
        <v>42905.408903546406</v>
      </c>
      <c r="M21" s="402">
        <f>SUM(L$10:$L21)</f>
        <v>255147.04897850082</v>
      </c>
      <c r="O21" s="397">
        <f t="shared" si="6"/>
        <v>12</v>
      </c>
      <c r="P21" s="398">
        <f t="shared" si="7"/>
        <v>157500</v>
      </c>
      <c r="Q21" s="399">
        <f t="shared" si="8"/>
        <v>83448.05</v>
      </c>
      <c r="R21" s="400">
        <f t="shared" si="9"/>
        <v>74051.95</v>
      </c>
      <c r="S21" s="400">
        <f t="shared" si="2"/>
        <v>41234.896649013725</v>
      </c>
      <c r="T21" s="402">
        <f>SUM($S$10:S21)</f>
        <v>5746.9280179720226</v>
      </c>
    </row>
    <row r="22" spans="2:20">
      <c r="B22" s="397">
        <f t="shared" si="10"/>
        <v>13</v>
      </c>
      <c r="C22" s="398">
        <f t="shared" si="11"/>
        <v>157500</v>
      </c>
      <c r="D22" s="398">
        <f t="shared" si="12"/>
        <v>83448.05</v>
      </c>
      <c r="E22" s="400">
        <f t="shared" si="3"/>
        <v>74051.95</v>
      </c>
      <c r="F22" s="401">
        <f t="shared" si="0"/>
        <v>39271.330141917824</v>
      </c>
      <c r="H22" s="397">
        <f t="shared" si="4"/>
        <v>13</v>
      </c>
      <c r="I22" s="398">
        <f t="shared" si="13"/>
        <v>157500</v>
      </c>
      <c r="J22" s="399">
        <f t="shared" si="14"/>
        <v>80448.05</v>
      </c>
      <c r="K22" s="400">
        <f t="shared" si="5"/>
        <v>77051.95</v>
      </c>
      <c r="L22" s="400">
        <f t="shared" si="1"/>
        <v>40862.294193853711</v>
      </c>
      <c r="M22" s="402">
        <f>SUM(L$10:$L22)</f>
        <v>296009.34317235451</v>
      </c>
      <c r="O22" s="397">
        <f t="shared" si="6"/>
        <v>13</v>
      </c>
      <c r="P22" s="398">
        <f t="shared" si="7"/>
        <v>157500</v>
      </c>
      <c r="Q22" s="399">
        <f t="shared" si="8"/>
        <v>83448.05</v>
      </c>
      <c r="R22" s="400">
        <f t="shared" si="9"/>
        <v>74051.95</v>
      </c>
      <c r="S22" s="400">
        <f t="shared" si="2"/>
        <v>39271.330141917824</v>
      </c>
      <c r="T22" s="402">
        <f>SUM($S$10:S22)</f>
        <v>45018.258159889847</v>
      </c>
    </row>
    <row r="23" spans="2:20">
      <c r="B23" s="397">
        <f t="shared" si="10"/>
        <v>14</v>
      </c>
      <c r="C23" s="398">
        <f t="shared" si="11"/>
        <v>157500</v>
      </c>
      <c r="D23" s="398">
        <f t="shared" si="12"/>
        <v>83448.05</v>
      </c>
      <c r="E23" s="400">
        <f t="shared" ref="E23:E34" si="15">C23-D23</f>
        <v>74051.95</v>
      </c>
      <c r="F23" s="401">
        <f t="shared" si="0"/>
        <v>37401.26680182651</v>
      </c>
      <c r="H23" s="397">
        <f t="shared" si="4"/>
        <v>14</v>
      </c>
      <c r="I23" s="398">
        <f t="shared" si="13"/>
        <v>157500</v>
      </c>
      <c r="J23" s="399">
        <f t="shared" si="14"/>
        <v>80448.05</v>
      </c>
      <c r="K23" s="400">
        <f t="shared" si="5"/>
        <v>77051.95</v>
      </c>
      <c r="L23" s="400">
        <f t="shared" si="1"/>
        <v>38916.470660813065</v>
      </c>
      <c r="M23" s="402">
        <f>SUM(L$10:$L23)</f>
        <v>334925.81383316754</v>
      </c>
      <c r="O23" s="397">
        <f t="shared" si="6"/>
        <v>14</v>
      </c>
      <c r="P23" s="398">
        <f t="shared" si="7"/>
        <v>157500</v>
      </c>
      <c r="Q23" s="399">
        <f t="shared" si="8"/>
        <v>83448.05</v>
      </c>
      <c r="R23" s="400">
        <f t="shared" si="9"/>
        <v>74051.95</v>
      </c>
      <c r="S23" s="400">
        <f t="shared" si="2"/>
        <v>37401.26680182651</v>
      </c>
      <c r="T23" s="402">
        <f>SUM($S$10:S23)</f>
        <v>82419.52496171635</v>
      </c>
    </row>
    <row r="24" spans="2:20">
      <c r="B24" s="397">
        <f t="shared" si="10"/>
        <v>15</v>
      </c>
      <c r="C24" s="398">
        <f t="shared" si="11"/>
        <v>157500</v>
      </c>
      <c r="D24" s="398">
        <f t="shared" si="12"/>
        <v>83448.05</v>
      </c>
      <c r="E24" s="400">
        <f t="shared" si="15"/>
        <v>74051.95</v>
      </c>
      <c r="F24" s="401">
        <f t="shared" si="0"/>
        <v>35620.254096977616</v>
      </c>
      <c r="H24" s="397">
        <f t="shared" si="4"/>
        <v>15</v>
      </c>
      <c r="I24" s="398">
        <f t="shared" si="13"/>
        <v>157500</v>
      </c>
      <c r="J24" s="399">
        <f t="shared" si="14"/>
        <v>80448.05</v>
      </c>
      <c r="K24" s="400">
        <f t="shared" si="5"/>
        <v>77051.95</v>
      </c>
      <c r="L24" s="400">
        <f t="shared" si="1"/>
        <v>37063.305391250527</v>
      </c>
      <c r="M24" s="402">
        <f>SUM(L$10:$L24)</f>
        <v>371989.11922441807</v>
      </c>
      <c r="O24" s="397">
        <f t="shared" si="6"/>
        <v>15</v>
      </c>
      <c r="P24" s="398">
        <f t="shared" si="7"/>
        <v>157500</v>
      </c>
      <c r="Q24" s="399">
        <f t="shared" si="8"/>
        <v>83448.05</v>
      </c>
      <c r="R24" s="400">
        <f t="shared" si="9"/>
        <v>74051.95</v>
      </c>
      <c r="S24" s="400">
        <f t="shared" si="2"/>
        <v>35620.254096977616</v>
      </c>
      <c r="T24" s="402">
        <f>SUM($S$10:S24)</f>
        <v>118039.77905869397</v>
      </c>
    </row>
    <row r="25" spans="2:20">
      <c r="B25" s="397">
        <f t="shared" si="10"/>
        <v>16</v>
      </c>
      <c r="C25" s="398">
        <f t="shared" si="11"/>
        <v>157500</v>
      </c>
      <c r="D25" s="398">
        <f t="shared" si="12"/>
        <v>83448.05</v>
      </c>
      <c r="E25" s="400">
        <f t="shared" si="15"/>
        <v>74051.95</v>
      </c>
      <c r="F25" s="401">
        <f t="shared" si="0"/>
        <v>33924.051520931069</v>
      </c>
      <c r="H25" s="397">
        <f t="shared" si="4"/>
        <v>16</v>
      </c>
      <c r="I25" s="398">
        <f t="shared" si="13"/>
        <v>157500</v>
      </c>
      <c r="J25" s="399">
        <f t="shared" si="14"/>
        <v>80448.05</v>
      </c>
      <c r="K25" s="400">
        <f t="shared" si="5"/>
        <v>77051.95</v>
      </c>
      <c r="L25" s="400">
        <f t="shared" si="1"/>
        <v>35298.386086905266</v>
      </c>
      <c r="M25" s="402">
        <f>SUM(L$10:$L25)</f>
        <v>407287.50531132333</v>
      </c>
      <c r="O25" s="397">
        <f t="shared" si="6"/>
        <v>16</v>
      </c>
      <c r="P25" s="398">
        <f t="shared" si="7"/>
        <v>157500</v>
      </c>
      <c r="Q25" s="399">
        <f t="shared" si="8"/>
        <v>83448.05</v>
      </c>
      <c r="R25" s="400">
        <f t="shared" si="9"/>
        <v>74051.95</v>
      </c>
      <c r="S25" s="400">
        <f t="shared" si="2"/>
        <v>33924.051520931069</v>
      </c>
      <c r="T25" s="402">
        <f>SUM($S$10:S25)</f>
        <v>151963.83057962504</v>
      </c>
    </row>
    <row r="26" spans="2:20">
      <c r="B26" s="397">
        <f t="shared" si="10"/>
        <v>17</v>
      </c>
      <c r="C26" s="398">
        <f t="shared" si="11"/>
        <v>157500</v>
      </c>
      <c r="D26" s="398">
        <f t="shared" si="12"/>
        <v>83448.05</v>
      </c>
      <c r="E26" s="400">
        <f t="shared" si="15"/>
        <v>74051.95</v>
      </c>
      <c r="F26" s="401">
        <f t="shared" si="0"/>
        <v>32308.620496124822</v>
      </c>
      <c r="H26" s="397">
        <f t="shared" si="4"/>
        <v>17</v>
      </c>
      <c r="I26" s="398">
        <f t="shared" si="13"/>
        <v>157500</v>
      </c>
      <c r="J26" s="399">
        <f t="shared" si="14"/>
        <v>80448.05</v>
      </c>
      <c r="K26" s="400">
        <f t="shared" si="5"/>
        <v>77051.95</v>
      </c>
      <c r="L26" s="400">
        <f t="shared" si="1"/>
        <v>33617.510558957394</v>
      </c>
      <c r="M26" s="402">
        <f>SUM(L$10:$L26)</f>
        <v>440905.01587028074</v>
      </c>
      <c r="O26" s="397">
        <f t="shared" si="6"/>
        <v>17</v>
      </c>
      <c r="P26" s="398">
        <f t="shared" si="7"/>
        <v>157500</v>
      </c>
      <c r="Q26" s="399">
        <f t="shared" si="8"/>
        <v>83448.05</v>
      </c>
      <c r="R26" s="400">
        <f t="shared" si="9"/>
        <v>74051.95</v>
      </c>
      <c r="S26" s="400">
        <f t="shared" si="2"/>
        <v>32308.620496124822</v>
      </c>
      <c r="T26" s="402">
        <f>SUM($S$10:S26)</f>
        <v>184272.45107574985</v>
      </c>
    </row>
    <row r="27" spans="2:20">
      <c r="B27" s="397">
        <f t="shared" si="10"/>
        <v>18</v>
      </c>
      <c r="C27" s="398">
        <f t="shared" si="11"/>
        <v>157500</v>
      </c>
      <c r="D27" s="398">
        <f t="shared" si="12"/>
        <v>83448.05</v>
      </c>
      <c r="E27" s="400">
        <f t="shared" si="15"/>
        <v>74051.95</v>
      </c>
      <c r="F27" s="401">
        <f t="shared" si="0"/>
        <v>30770.114758214117</v>
      </c>
      <c r="H27" s="397">
        <f t="shared" si="4"/>
        <v>18</v>
      </c>
      <c r="I27" s="398">
        <f t="shared" si="13"/>
        <v>157500</v>
      </c>
      <c r="J27" s="399">
        <f t="shared" si="14"/>
        <v>80448.05</v>
      </c>
      <c r="K27" s="400">
        <f t="shared" si="5"/>
        <v>77051.95</v>
      </c>
      <c r="L27" s="400">
        <f t="shared" si="1"/>
        <v>32016.676722816566</v>
      </c>
      <c r="M27" s="402">
        <f>SUM(L$10:$L27)</f>
        <v>472921.69259309728</v>
      </c>
      <c r="O27" s="397">
        <f t="shared" si="6"/>
        <v>18</v>
      </c>
      <c r="P27" s="398">
        <f t="shared" si="7"/>
        <v>157500</v>
      </c>
      <c r="Q27" s="399">
        <f t="shared" si="8"/>
        <v>83448.05</v>
      </c>
      <c r="R27" s="400">
        <f t="shared" si="9"/>
        <v>74051.95</v>
      </c>
      <c r="S27" s="400">
        <f t="shared" si="2"/>
        <v>30770.114758214117</v>
      </c>
      <c r="T27" s="402">
        <f>SUM($S$10:S27)</f>
        <v>215042.56583396398</v>
      </c>
    </row>
    <row r="28" spans="2:20">
      <c r="B28" s="397">
        <f t="shared" si="10"/>
        <v>19</v>
      </c>
      <c r="C28" s="398">
        <f t="shared" si="11"/>
        <v>157500</v>
      </c>
      <c r="D28" s="398">
        <f t="shared" si="12"/>
        <v>83448.05</v>
      </c>
      <c r="E28" s="400">
        <f t="shared" si="15"/>
        <v>74051.95</v>
      </c>
      <c r="F28" s="401">
        <f t="shared" si="0"/>
        <v>29304.871198299159</v>
      </c>
      <c r="H28" s="397">
        <f t="shared" si="4"/>
        <v>19</v>
      </c>
      <c r="I28" s="398">
        <f t="shared" si="13"/>
        <v>157500</v>
      </c>
      <c r="J28" s="399">
        <f t="shared" si="14"/>
        <v>80448.05</v>
      </c>
      <c r="K28" s="400">
        <f t="shared" si="5"/>
        <v>77051.95</v>
      </c>
      <c r="L28" s="400">
        <f t="shared" si="1"/>
        <v>30492.07306934911</v>
      </c>
      <c r="M28" s="402">
        <f>SUM(L$10:$L28)</f>
        <v>503413.76566244639</v>
      </c>
      <c r="O28" s="397">
        <f t="shared" si="6"/>
        <v>19</v>
      </c>
      <c r="P28" s="398">
        <f t="shared" si="7"/>
        <v>157500</v>
      </c>
      <c r="Q28" s="399">
        <f t="shared" si="8"/>
        <v>83448.05</v>
      </c>
      <c r="R28" s="400">
        <f t="shared" si="9"/>
        <v>74051.95</v>
      </c>
      <c r="S28" s="400">
        <f t="shared" si="2"/>
        <v>29304.871198299159</v>
      </c>
      <c r="T28" s="402">
        <f>SUM($S$10:S28)</f>
        <v>244347.43703226314</v>
      </c>
    </row>
    <row r="29" spans="2:20">
      <c r="B29" s="397">
        <f t="shared" si="10"/>
        <v>20</v>
      </c>
      <c r="C29" s="398">
        <f t="shared" si="11"/>
        <v>157500</v>
      </c>
      <c r="D29" s="398">
        <f t="shared" si="12"/>
        <v>83448.05</v>
      </c>
      <c r="E29" s="400">
        <f t="shared" si="15"/>
        <v>74051.95</v>
      </c>
      <c r="F29" s="401">
        <f t="shared" si="0"/>
        <v>27909.401141237297</v>
      </c>
      <c r="H29" s="397">
        <f t="shared" si="4"/>
        <v>20</v>
      </c>
      <c r="I29" s="398">
        <f t="shared" si="13"/>
        <v>157500</v>
      </c>
      <c r="J29" s="399">
        <f t="shared" si="14"/>
        <v>80448.05</v>
      </c>
      <c r="K29" s="400">
        <f t="shared" si="5"/>
        <v>77051.95</v>
      </c>
      <c r="L29" s="400">
        <f t="shared" si="1"/>
        <v>29040.069589856299</v>
      </c>
      <c r="M29" s="402">
        <f>SUM(L$10:$L29)</f>
        <v>532453.8352523027</v>
      </c>
      <c r="O29" s="397">
        <f t="shared" si="6"/>
        <v>20</v>
      </c>
      <c r="P29" s="398">
        <f t="shared" si="7"/>
        <v>157500</v>
      </c>
      <c r="Q29" s="399">
        <f t="shared" si="8"/>
        <v>83448.05</v>
      </c>
      <c r="R29" s="400">
        <f t="shared" si="9"/>
        <v>74051.95</v>
      </c>
      <c r="S29" s="400">
        <f t="shared" si="2"/>
        <v>27909.401141237297</v>
      </c>
      <c r="T29" s="402">
        <f>SUM($S$10:S29)</f>
        <v>272256.83817350044</v>
      </c>
    </row>
    <row r="30" spans="2:20">
      <c r="B30" s="397">
        <f t="shared" si="10"/>
        <v>21</v>
      </c>
      <c r="C30" s="398">
        <f t="shared" si="11"/>
        <v>157500</v>
      </c>
      <c r="D30" s="398">
        <f t="shared" si="12"/>
        <v>83448.05</v>
      </c>
      <c r="E30" s="400">
        <f t="shared" si="15"/>
        <v>74051.95</v>
      </c>
      <c r="F30" s="401">
        <f t="shared" si="0"/>
        <v>26580.382039273616</v>
      </c>
      <c r="H30" s="397">
        <f t="shared" si="4"/>
        <v>21</v>
      </c>
      <c r="I30" s="398">
        <f t="shared" si="13"/>
        <v>157500</v>
      </c>
      <c r="J30" s="399">
        <f t="shared" si="14"/>
        <v>80448.05</v>
      </c>
      <c r="K30" s="400">
        <f t="shared" si="5"/>
        <v>77051.95</v>
      </c>
      <c r="L30" s="400">
        <f t="shared" si="1"/>
        <v>27657.209133196473</v>
      </c>
      <c r="M30" s="402">
        <f>SUM(L$10:$L30)</f>
        <v>560111.0443854992</v>
      </c>
      <c r="O30" s="397">
        <f t="shared" si="6"/>
        <v>21</v>
      </c>
      <c r="P30" s="398">
        <f t="shared" si="7"/>
        <v>157500</v>
      </c>
      <c r="Q30" s="399">
        <f t="shared" si="8"/>
        <v>83448.05</v>
      </c>
      <c r="R30" s="400">
        <f t="shared" si="9"/>
        <v>74051.95</v>
      </c>
      <c r="S30" s="400">
        <f t="shared" si="2"/>
        <v>26580.382039273616</v>
      </c>
      <c r="T30" s="402">
        <f>SUM($S$10:S30)</f>
        <v>298837.22021277406</v>
      </c>
    </row>
    <row r="31" spans="2:20">
      <c r="B31" s="397">
        <f t="shared" si="10"/>
        <v>22</v>
      </c>
      <c r="C31" s="398">
        <f t="shared" si="11"/>
        <v>157500</v>
      </c>
      <c r="D31" s="398">
        <f t="shared" si="12"/>
        <v>83448.05</v>
      </c>
      <c r="E31" s="400">
        <f t="shared" si="15"/>
        <v>74051.95</v>
      </c>
      <c r="F31" s="401">
        <f t="shared" si="0"/>
        <v>25314.649561212969</v>
      </c>
      <c r="H31" s="397">
        <f t="shared" si="4"/>
        <v>22</v>
      </c>
      <c r="I31" s="398">
        <f t="shared" si="13"/>
        <v>157500</v>
      </c>
      <c r="J31" s="399">
        <f t="shared" si="14"/>
        <v>80448.05</v>
      </c>
      <c r="K31" s="400">
        <f t="shared" si="5"/>
        <v>77051.95</v>
      </c>
      <c r="L31" s="400">
        <f t="shared" si="1"/>
        <v>26340.199174472833</v>
      </c>
      <c r="M31" s="402">
        <f>SUM(L$10:$L31)</f>
        <v>586451.24355997203</v>
      </c>
      <c r="O31" s="397">
        <f t="shared" si="6"/>
        <v>22</v>
      </c>
      <c r="P31" s="398">
        <f t="shared" si="7"/>
        <v>157500</v>
      </c>
      <c r="Q31" s="399">
        <f t="shared" si="8"/>
        <v>83448.05</v>
      </c>
      <c r="R31" s="400">
        <f t="shared" si="9"/>
        <v>74051.95</v>
      </c>
      <c r="S31" s="400">
        <f t="shared" si="2"/>
        <v>25314.649561212969</v>
      </c>
      <c r="T31" s="402">
        <f>SUM($S$10:S31)</f>
        <v>324151.86977398704</v>
      </c>
    </row>
    <row r="32" spans="2:20">
      <c r="B32" s="397">
        <f t="shared" si="10"/>
        <v>23</v>
      </c>
      <c r="C32" s="398">
        <f t="shared" si="11"/>
        <v>157500</v>
      </c>
      <c r="D32" s="398">
        <f t="shared" si="12"/>
        <v>83448.05</v>
      </c>
      <c r="E32" s="400">
        <f t="shared" si="15"/>
        <v>74051.95</v>
      </c>
      <c r="F32" s="401">
        <f t="shared" si="0"/>
        <v>24109.19005829806</v>
      </c>
      <c r="H32" s="397">
        <f t="shared" si="4"/>
        <v>23</v>
      </c>
      <c r="I32" s="398">
        <f t="shared" si="13"/>
        <v>157500</v>
      </c>
      <c r="J32" s="399">
        <f t="shared" si="14"/>
        <v>80448.05</v>
      </c>
      <c r="K32" s="400">
        <f t="shared" si="5"/>
        <v>77051.95</v>
      </c>
      <c r="L32" s="400">
        <f t="shared" si="1"/>
        <v>25085.903975688409</v>
      </c>
      <c r="M32" s="402">
        <f>SUM(L$10:$L32)</f>
        <v>611537.14753566042</v>
      </c>
      <c r="O32" s="397">
        <f t="shared" si="6"/>
        <v>23</v>
      </c>
      <c r="P32" s="398">
        <f t="shared" si="7"/>
        <v>157500</v>
      </c>
      <c r="Q32" s="399">
        <f t="shared" si="8"/>
        <v>83448.05</v>
      </c>
      <c r="R32" s="400">
        <f t="shared" si="9"/>
        <v>74051.95</v>
      </c>
      <c r="S32" s="400">
        <f t="shared" si="2"/>
        <v>24109.19005829806</v>
      </c>
      <c r="T32" s="402">
        <f>SUM($S$10:S32)</f>
        <v>348261.0598322851</v>
      </c>
    </row>
    <row r="33" spans="2:20">
      <c r="B33" s="397">
        <f t="shared" si="10"/>
        <v>24</v>
      </c>
      <c r="C33" s="398">
        <f t="shared" si="11"/>
        <v>157500</v>
      </c>
      <c r="D33" s="398">
        <f t="shared" si="12"/>
        <v>83448.05</v>
      </c>
      <c r="E33" s="400">
        <f t="shared" si="15"/>
        <v>74051.95</v>
      </c>
      <c r="F33" s="401">
        <f t="shared" si="0"/>
        <v>22961.133388855298</v>
      </c>
      <c r="H33" s="397">
        <f t="shared" si="4"/>
        <v>24</v>
      </c>
      <c r="I33" s="398">
        <f t="shared" si="13"/>
        <v>157500</v>
      </c>
      <c r="J33" s="399">
        <f t="shared" si="14"/>
        <v>80448.05</v>
      </c>
      <c r="K33" s="400">
        <f t="shared" si="5"/>
        <v>77051.95</v>
      </c>
      <c r="L33" s="400">
        <f t="shared" si="1"/>
        <v>23891.33711970325</v>
      </c>
      <c r="M33" s="402">
        <f>SUM(L$10:$L33)</f>
        <v>635428.48465536372</v>
      </c>
      <c r="O33" s="397">
        <f t="shared" si="6"/>
        <v>24</v>
      </c>
      <c r="P33" s="398">
        <f t="shared" si="7"/>
        <v>157500</v>
      </c>
      <c r="Q33" s="399">
        <f t="shared" si="8"/>
        <v>83448.05</v>
      </c>
      <c r="R33" s="400">
        <f t="shared" si="9"/>
        <v>74051.95</v>
      </c>
      <c r="S33" s="400">
        <f t="shared" si="2"/>
        <v>22961.133388855298</v>
      </c>
      <c r="T33" s="402">
        <f>SUM($S$10:S33)</f>
        <v>371222.19322114042</v>
      </c>
    </row>
    <row r="34" spans="2:20">
      <c r="B34" s="397">
        <f t="shared" si="10"/>
        <v>25</v>
      </c>
      <c r="C34" s="398">
        <f t="shared" si="11"/>
        <v>157500</v>
      </c>
      <c r="D34" s="398">
        <f t="shared" si="12"/>
        <v>83448.05</v>
      </c>
      <c r="E34" s="400">
        <f t="shared" si="15"/>
        <v>74051.95</v>
      </c>
      <c r="F34" s="401">
        <f t="shared" si="0"/>
        <v>21867.746084624094</v>
      </c>
      <c r="H34" s="397">
        <f t="shared" si="4"/>
        <v>25</v>
      </c>
      <c r="I34" s="398">
        <f t="shared" si="13"/>
        <v>157500</v>
      </c>
      <c r="J34" s="399">
        <f t="shared" si="14"/>
        <v>80448.05</v>
      </c>
      <c r="K34" s="400">
        <f t="shared" si="5"/>
        <v>77051.95</v>
      </c>
      <c r="L34" s="400">
        <f t="shared" si="1"/>
        <v>22753.654399717379</v>
      </c>
      <c r="M34" s="402">
        <f>SUM(L$10:$L34)</f>
        <v>658182.13905508106</v>
      </c>
      <c r="O34" s="397">
        <f t="shared" si="6"/>
        <v>25</v>
      </c>
      <c r="P34" s="398">
        <f t="shared" si="7"/>
        <v>157500</v>
      </c>
      <c r="Q34" s="399">
        <f t="shared" si="8"/>
        <v>83448.05</v>
      </c>
      <c r="R34" s="400">
        <f t="shared" si="9"/>
        <v>74051.95</v>
      </c>
      <c r="S34" s="400">
        <f t="shared" si="2"/>
        <v>21867.746084624094</v>
      </c>
      <c r="T34" s="402">
        <f>SUM($S$10:S34)</f>
        <v>393089.93930576451</v>
      </c>
    </row>
    <row r="35" spans="2:20">
      <c r="B35" s="397">
        <f t="shared" si="10"/>
        <v>26</v>
      </c>
      <c r="C35" s="398">
        <f t="shared" si="11"/>
        <v>157500</v>
      </c>
      <c r="D35" s="398">
        <f t="shared" si="12"/>
        <v>83448.05</v>
      </c>
      <c r="E35" s="400">
        <f t="shared" ref="E35:E39" si="16">C35-D35</f>
        <v>74051.95</v>
      </c>
      <c r="F35" s="401">
        <f t="shared" ref="F35:F39" si="17">E35/(1+$F$48)^B35</f>
        <v>20826.424842499135</v>
      </c>
      <c r="H35" s="397">
        <f t="shared" si="4"/>
        <v>26</v>
      </c>
      <c r="I35" s="398">
        <f t="shared" si="13"/>
        <v>157500</v>
      </c>
      <c r="J35" s="399">
        <f t="shared" si="14"/>
        <v>80448.05</v>
      </c>
      <c r="K35" s="400">
        <f t="shared" si="5"/>
        <v>77051.95</v>
      </c>
      <c r="L35" s="400">
        <f t="shared" si="1"/>
        <v>21670.147047349885</v>
      </c>
      <c r="M35" s="402">
        <f>SUM(L$10:$L35)</f>
        <v>679852.28610243089</v>
      </c>
      <c r="O35" s="397">
        <f t="shared" si="6"/>
        <v>26</v>
      </c>
      <c r="P35" s="398">
        <f t="shared" ref="P35:P39" si="18">C35</f>
        <v>157500</v>
      </c>
      <c r="Q35" s="399">
        <f t="shared" ref="Q35:Q39" si="19">D35</f>
        <v>83448.05</v>
      </c>
      <c r="R35" s="400">
        <f t="shared" ref="R35:R39" si="20">P35-Q35</f>
        <v>74051.95</v>
      </c>
      <c r="S35" s="400">
        <f t="shared" si="2"/>
        <v>20826.424842499135</v>
      </c>
      <c r="T35" s="402">
        <f>SUM($S$10:S35)</f>
        <v>413916.36414826364</v>
      </c>
    </row>
    <row r="36" spans="2:20">
      <c r="B36" s="397">
        <f t="shared" si="10"/>
        <v>27</v>
      </c>
      <c r="C36" s="398">
        <f t="shared" si="11"/>
        <v>157500</v>
      </c>
      <c r="D36" s="398">
        <f t="shared" si="12"/>
        <v>83448.05</v>
      </c>
      <c r="E36" s="400">
        <f t="shared" si="16"/>
        <v>74051.95</v>
      </c>
      <c r="F36" s="401">
        <f t="shared" si="17"/>
        <v>19834.690326189651</v>
      </c>
      <c r="H36" s="397">
        <f t="shared" si="4"/>
        <v>27</v>
      </c>
      <c r="I36" s="398">
        <f t="shared" si="13"/>
        <v>157500</v>
      </c>
      <c r="J36" s="399">
        <f t="shared" si="14"/>
        <v>80448.05</v>
      </c>
      <c r="K36" s="400">
        <f t="shared" si="5"/>
        <v>77051.95</v>
      </c>
      <c r="L36" s="400">
        <f t="shared" si="1"/>
        <v>20638.235283190363</v>
      </c>
      <c r="M36" s="402">
        <f>SUM(L$10:$L36)</f>
        <v>700490.52138562128</v>
      </c>
      <c r="O36" s="397">
        <f t="shared" si="6"/>
        <v>27</v>
      </c>
      <c r="P36" s="398">
        <f t="shared" si="18"/>
        <v>157500</v>
      </c>
      <c r="Q36" s="399">
        <f t="shared" si="19"/>
        <v>83448.05</v>
      </c>
      <c r="R36" s="400">
        <f t="shared" si="20"/>
        <v>74051.95</v>
      </c>
      <c r="S36" s="400">
        <f t="shared" si="2"/>
        <v>19834.690326189651</v>
      </c>
      <c r="T36" s="402">
        <f>SUM($S$10:S36)</f>
        <v>433751.05447445333</v>
      </c>
    </row>
    <row r="37" spans="2:20">
      <c r="B37" s="397">
        <f t="shared" si="10"/>
        <v>28</v>
      </c>
      <c r="C37" s="398">
        <f t="shared" si="11"/>
        <v>157500</v>
      </c>
      <c r="D37" s="398">
        <f t="shared" si="12"/>
        <v>83448.05</v>
      </c>
      <c r="E37" s="400">
        <f t="shared" si="16"/>
        <v>74051.95</v>
      </c>
      <c r="F37" s="401">
        <f t="shared" si="17"/>
        <v>18890.181263037764</v>
      </c>
      <c r="H37" s="397">
        <f t="shared" si="4"/>
        <v>28</v>
      </c>
      <c r="I37" s="398">
        <f t="shared" si="13"/>
        <v>157500</v>
      </c>
      <c r="J37" s="399">
        <f t="shared" si="14"/>
        <v>80448.05</v>
      </c>
      <c r="K37" s="400">
        <f t="shared" si="5"/>
        <v>77051.95</v>
      </c>
      <c r="L37" s="400">
        <f t="shared" si="1"/>
        <v>19655.462174467018</v>
      </c>
      <c r="M37" s="402">
        <f>SUM(L$10:$L37)</f>
        <v>720145.98356008832</v>
      </c>
      <c r="O37" s="397">
        <f t="shared" si="6"/>
        <v>28</v>
      </c>
      <c r="P37" s="398">
        <f t="shared" si="18"/>
        <v>157500</v>
      </c>
      <c r="Q37" s="399">
        <f t="shared" si="19"/>
        <v>83448.05</v>
      </c>
      <c r="R37" s="400">
        <f t="shared" si="20"/>
        <v>74051.95</v>
      </c>
      <c r="S37" s="400">
        <f t="shared" si="2"/>
        <v>18890.181263037764</v>
      </c>
      <c r="T37" s="402">
        <f>SUM($S$10:S37)</f>
        <v>452641.23573749111</v>
      </c>
    </row>
    <row r="38" spans="2:20">
      <c r="B38" s="397">
        <f t="shared" si="10"/>
        <v>29</v>
      </c>
      <c r="C38" s="398">
        <f t="shared" si="11"/>
        <v>157500</v>
      </c>
      <c r="D38" s="398">
        <f t="shared" si="12"/>
        <v>83448.05</v>
      </c>
      <c r="E38" s="400">
        <f t="shared" si="16"/>
        <v>74051.95</v>
      </c>
      <c r="F38" s="401">
        <f t="shared" si="17"/>
        <v>17990.648821940726</v>
      </c>
      <c r="H38" s="397">
        <f t="shared" si="4"/>
        <v>29</v>
      </c>
      <c r="I38" s="398">
        <f t="shared" si="13"/>
        <v>157500</v>
      </c>
      <c r="J38" s="399">
        <f t="shared" si="14"/>
        <v>80448.05</v>
      </c>
      <c r="K38" s="400">
        <f t="shared" si="5"/>
        <v>77051.95</v>
      </c>
      <c r="L38" s="400">
        <f t="shared" si="1"/>
        <v>18719.487785206678</v>
      </c>
      <c r="M38" s="402">
        <f>SUM(L$10:$L38)</f>
        <v>738865.47134529497</v>
      </c>
      <c r="O38" s="397">
        <f t="shared" si="6"/>
        <v>29</v>
      </c>
      <c r="P38" s="398">
        <f t="shared" si="18"/>
        <v>157500</v>
      </c>
      <c r="Q38" s="399">
        <f t="shared" si="19"/>
        <v>83448.05</v>
      </c>
      <c r="R38" s="400">
        <f t="shared" si="20"/>
        <v>74051.95</v>
      </c>
      <c r="S38" s="400">
        <f t="shared" si="2"/>
        <v>17990.648821940726</v>
      </c>
      <c r="T38" s="402">
        <f>SUM($S$10:S38)</f>
        <v>470631.88455943181</v>
      </c>
    </row>
    <row r="39" spans="2:20">
      <c r="B39" s="397">
        <f t="shared" si="10"/>
        <v>30</v>
      </c>
      <c r="C39" s="398">
        <f t="shared" si="11"/>
        <v>157500</v>
      </c>
      <c r="D39" s="398">
        <f t="shared" si="12"/>
        <v>83448.05</v>
      </c>
      <c r="E39" s="400">
        <f t="shared" si="16"/>
        <v>74051.95</v>
      </c>
      <c r="F39" s="401">
        <f t="shared" si="17"/>
        <v>17133.951258991172</v>
      </c>
      <c r="H39" s="397">
        <f t="shared" si="4"/>
        <v>30</v>
      </c>
      <c r="I39" s="398">
        <f t="shared" si="13"/>
        <v>157500</v>
      </c>
      <c r="J39" s="399">
        <f t="shared" si="14"/>
        <v>80448.05</v>
      </c>
      <c r="K39" s="400">
        <f t="shared" si="5"/>
        <v>77051.95</v>
      </c>
      <c r="L39" s="400">
        <f t="shared" si="1"/>
        <v>17828.083604958749</v>
      </c>
      <c r="M39" s="402">
        <f>SUM(L$10:$L39)</f>
        <v>756693.55495025369</v>
      </c>
      <c r="O39" s="397">
        <f t="shared" si="6"/>
        <v>30</v>
      </c>
      <c r="P39" s="398">
        <f t="shared" si="18"/>
        <v>157500</v>
      </c>
      <c r="Q39" s="399">
        <f t="shared" si="19"/>
        <v>83448.05</v>
      </c>
      <c r="R39" s="400">
        <f t="shared" si="20"/>
        <v>74051.95</v>
      </c>
      <c r="S39" s="400">
        <f t="shared" si="2"/>
        <v>17133.951258991172</v>
      </c>
      <c r="T39" s="402">
        <f>SUM($S$10:S39)</f>
        <v>487765.83581842296</v>
      </c>
    </row>
    <row r="40" spans="2:20">
      <c r="B40" s="397"/>
      <c r="C40" s="178"/>
      <c r="D40" s="178"/>
      <c r="E40" s="396"/>
      <c r="F40" s="403"/>
      <c r="H40" s="397"/>
      <c r="I40" s="178"/>
      <c r="J40" s="178"/>
      <c r="K40" s="396"/>
      <c r="L40" s="396"/>
      <c r="M40" s="404"/>
      <c r="O40" s="397"/>
      <c r="P40" s="178"/>
      <c r="Q40" s="178"/>
      <c r="R40" s="396"/>
      <c r="S40" s="396"/>
      <c r="T40" s="404"/>
    </row>
    <row r="41" spans="2:20">
      <c r="B41" s="397"/>
      <c r="C41" s="178"/>
      <c r="E41" s="405" t="s">
        <v>188</v>
      </c>
      <c r="F41" s="406">
        <f>'App5. Data for tables'!H3</f>
        <v>315</v>
      </c>
      <c r="H41" s="397"/>
      <c r="I41" s="178"/>
      <c r="J41" s="178"/>
      <c r="L41" s="405" t="s">
        <v>188</v>
      </c>
      <c r="M41" s="406">
        <f t="shared" ref="M41:M46" si="21">F41</f>
        <v>315</v>
      </c>
      <c r="O41" s="397"/>
      <c r="P41" s="178"/>
      <c r="Q41" s="178"/>
      <c r="S41" s="405" t="s">
        <v>188</v>
      </c>
      <c r="T41" s="406">
        <f t="shared" ref="T41:T46" si="22">F41</f>
        <v>315</v>
      </c>
    </row>
    <row r="42" spans="2:20">
      <c r="B42" s="397"/>
      <c r="C42" s="178"/>
      <c r="E42" s="405" t="s">
        <v>189</v>
      </c>
      <c r="F42" s="407">
        <f>'App5. Data for tables'!E4</f>
        <v>10</v>
      </c>
      <c r="H42" s="397"/>
      <c r="I42" s="178"/>
      <c r="J42" s="178"/>
      <c r="L42" s="405" t="s">
        <v>189</v>
      </c>
      <c r="M42" s="407">
        <f t="shared" si="21"/>
        <v>10</v>
      </c>
      <c r="O42" s="397"/>
      <c r="P42" s="178"/>
      <c r="Q42" s="178"/>
      <c r="S42" s="405" t="s">
        <v>189</v>
      </c>
      <c r="T42" s="407">
        <f t="shared" si="22"/>
        <v>10</v>
      </c>
    </row>
    <row r="43" spans="2:20">
      <c r="B43" s="397"/>
      <c r="C43" s="178"/>
      <c r="E43" s="405" t="s">
        <v>190</v>
      </c>
      <c r="F43" s="407">
        <f>'App5. Data for tables'!F4</f>
        <v>30</v>
      </c>
      <c r="H43" s="397"/>
      <c r="I43" s="178"/>
      <c r="J43" s="178"/>
      <c r="L43" s="405" t="s">
        <v>190</v>
      </c>
      <c r="M43" s="407">
        <f t="shared" si="21"/>
        <v>30</v>
      </c>
      <c r="O43" s="397"/>
      <c r="P43" s="178"/>
      <c r="Q43" s="178"/>
      <c r="S43" s="405" t="s">
        <v>190</v>
      </c>
      <c r="T43" s="407">
        <f t="shared" si="22"/>
        <v>30</v>
      </c>
    </row>
    <row r="44" spans="2:20">
      <c r="B44" s="397"/>
      <c r="C44" s="178"/>
      <c r="E44" s="405" t="s">
        <v>191</v>
      </c>
      <c r="F44" s="407">
        <f>'App5. Data for tables'!G4</f>
        <v>40</v>
      </c>
      <c r="H44" s="397"/>
      <c r="I44" s="178"/>
      <c r="J44" s="178"/>
      <c r="L44" s="405" t="s">
        <v>191</v>
      </c>
      <c r="M44" s="407">
        <f t="shared" si="21"/>
        <v>40</v>
      </c>
      <c r="O44" s="397"/>
      <c r="P44" s="178"/>
      <c r="Q44" s="178"/>
      <c r="S44" s="405" t="s">
        <v>191</v>
      </c>
      <c r="T44" s="407">
        <f t="shared" si="22"/>
        <v>40</v>
      </c>
    </row>
    <row r="45" spans="2:20">
      <c r="B45" s="397"/>
      <c r="C45" s="178"/>
      <c r="E45" s="405" t="s">
        <v>192</v>
      </c>
      <c r="F45" s="407">
        <f>'App5. Data for tables'!H4</f>
        <v>50</v>
      </c>
      <c r="H45" s="397"/>
      <c r="I45" s="178"/>
      <c r="J45" s="178"/>
      <c r="L45" s="405" t="s">
        <v>192</v>
      </c>
      <c r="M45" s="407">
        <f t="shared" si="21"/>
        <v>50</v>
      </c>
      <c r="O45" s="397"/>
      <c r="P45" s="178"/>
      <c r="Q45" s="178"/>
      <c r="S45" s="405" t="s">
        <v>192</v>
      </c>
      <c r="T45" s="407">
        <f t="shared" si="22"/>
        <v>50</v>
      </c>
    </row>
    <row r="46" spans="2:20">
      <c r="B46" s="397"/>
      <c r="C46" s="178"/>
      <c r="E46" s="405" t="s">
        <v>193</v>
      </c>
      <c r="F46" s="407">
        <f>'App5. Data for tables'!H65</f>
        <v>10</v>
      </c>
      <c r="H46" s="397"/>
      <c r="I46" s="178"/>
      <c r="J46" s="178"/>
      <c r="L46" s="405" t="s">
        <v>193</v>
      </c>
      <c r="M46" s="407">
        <f t="shared" si="21"/>
        <v>10</v>
      </c>
      <c r="O46" s="397"/>
      <c r="P46" s="178"/>
      <c r="Q46" s="178"/>
      <c r="S46" s="405" t="s">
        <v>193</v>
      </c>
      <c r="T46" s="407">
        <f t="shared" si="22"/>
        <v>10</v>
      </c>
    </row>
    <row r="47" spans="2:20">
      <c r="B47" s="397"/>
      <c r="C47" s="178"/>
      <c r="E47" s="408" t="s">
        <v>194</v>
      </c>
      <c r="F47" s="409">
        <f>SUM(F10:F39)</f>
        <v>487765.83581842296</v>
      </c>
      <c r="H47" s="397"/>
      <c r="I47" s="178"/>
      <c r="J47" s="178"/>
      <c r="L47" s="408" t="s">
        <v>199</v>
      </c>
      <c r="M47" s="419">
        <f>H15+(-M15/L16)</f>
        <v>6.6700550666721465</v>
      </c>
      <c r="O47" s="397"/>
      <c r="P47" s="178"/>
      <c r="Q47" s="178"/>
      <c r="S47" s="408" t="s">
        <v>199</v>
      </c>
      <c r="T47" s="419">
        <f>O20+(-T20/S21)</f>
        <v>11.860629503527337</v>
      </c>
    </row>
    <row r="48" spans="2:20">
      <c r="B48" s="410"/>
      <c r="C48" s="369"/>
      <c r="D48" s="369"/>
      <c r="E48" s="411" t="s">
        <v>195</v>
      </c>
      <c r="F48" s="412">
        <v>0.05</v>
      </c>
      <c r="H48" s="410"/>
      <c r="I48" s="369"/>
      <c r="J48" s="369"/>
      <c r="K48" s="417"/>
      <c r="L48" s="411" t="s">
        <v>195</v>
      </c>
      <c r="M48" s="420">
        <f>F48</f>
        <v>0.05</v>
      </c>
      <c r="O48" s="410"/>
      <c r="P48" s="369"/>
      <c r="Q48" s="369"/>
      <c r="R48" s="418"/>
      <c r="S48" s="411" t="s">
        <v>195</v>
      </c>
      <c r="T48" s="420">
        <f>F48</f>
        <v>0.05</v>
      </c>
    </row>
    <row r="50" spans="5:20">
      <c r="E50" s="413"/>
      <c r="F50" s="413"/>
      <c r="K50" s="413"/>
      <c r="L50" s="413"/>
      <c r="S50" s="413"/>
      <c r="T50" s="413"/>
    </row>
  </sheetData>
  <pageMargins left="0.7" right="0.7" top="0.75" bottom="0.75" header="0.3" footer="0.3"/>
  <pageSetup orientation="portrait" horizontalDpi="4294967292" verticalDpi="4294967292"/>
  <ignoredErrors>
    <ignoredError sqref="M47 T47" formula="1"/>
  </ignoredError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sheetPr>
    <pageSetUpPr fitToPage="1"/>
  </sheetPr>
  <dimension ref="A1:L77"/>
  <sheetViews>
    <sheetView tabSelected="1" workbookViewId="0">
      <selection activeCell="G9" sqref="G9"/>
    </sheetView>
  </sheetViews>
  <sheetFormatPr defaultColWidth="9.140625" defaultRowHeight="15"/>
  <cols>
    <col min="1" max="1" width="5.140625" style="47" customWidth="1"/>
    <col min="2" max="2" width="39.140625" style="50" customWidth="1"/>
    <col min="3" max="7" width="12.7109375" style="50" customWidth="1"/>
    <col min="8" max="8" width="13.7109375" style="50" customWidth="1"/>
    <col min="9" max="9" width="3.42578125" style="50" customWidth="1"/>
    <col min="10" max="10" width="13.85546875" style="50" customWidth="1"/>
    <col min="11" max="16384" width="9.140625" style="50"/>
  </cols>
  <sheetData>
    <row r="1" spans="1:12">
      <c r="B1" s="84"/>
    </row>
    <row r="2" spans="1:12" s="46" customFormat="1" ht="18.75">
      <c r="A2" s="45"/>
      <c r="B2" s="432" t="s">
        <v>399</v>
      </c>
      <c r="C2" s="432"/>
      <c r="D2" s="432"/>
      <c r="E2" s="432"/>
      <c r="F2" s="432"/>
      <c r="G2" s="432"/>
      <c r="H2" s="432"/>
      <c r="I2" s="432"/>
      <c r="J2" s="432"/>
      <c r="K2" s="100"/>
    </row>
    <row r="3" spans="1:12" ht="18" customHeight="1">
      <c r="B3" s="48"/>
      <c r="C3" s="433" t="s">
        <v>0</v>
      </c>
      <c r="D3" s="433"/>
      <c r="E3" s="433"/>
      <c r="F3" s="433"/>
      <c r="G3" s="433"/>
      <c r="H3" s="436" t="s">
        <v>200</v>
      </c>
      <c r="I3" s="49"/>
      <c r="J3" s="49"/>
      <c r="K3" s="95"/>
    </row>
    <row r="4" spans="1:12">
      <c r="B4" s="51"/>
      <c r="C4" s="52" t="s">
        <v>1</v>
      </c>
      <c r="D4" s="52" t="s">
        <v>2</v>
      </c>
      <c r="E4" s="52" t="s">
        <v>3</v>
      </c>
      <c r="F4" s="52" t="s">
        <v>4</v>
      </c>
      <c r="G4" s="52" t="s">
        <v>28</v>
      </c>
      <c r="H4" s="437"/>
      <c r="I4" s="49"/>
      <c r="J4" s="322" t="s">
        <v>55</v>
      </c>
      <c r="K4" s="95"/>
    </row>
    <row r="5" spans="1:12" ht="18">
      <c r="B5" s="49" t="s">
        <v>324</v>
      </c>
      <c r="C5" s="70"/>
      <c r="D5" s="70"/>
      <c r="E5" s="315">
        <f>'App5. Data for tables'!E$4</f>
        <v>10</v>
      </c>
      <c r="F5" s="315">
        <f>'App5. Data for tables'!F$4</f>
        <v>30</v>
      </c>
      <c r="G5" s="315">
        <f>'App5. Data for tables'!G$4</f>
        <v>40</v>
      </c>
      <c r="H5" s="315">
        <f>'App5. Data for tables'!H$4</f>
        <v>50</v>
      </c>
      <c r="I5" s="49"/>
      <c r="J5" s="323"/>
      <c r="K5" s="102"/>
    </row>
    <row r="6" spans="1:12">
      <c r="B6" s="49" t="s">
        <v>304</v>
      </c>
      <c r="C6" s="71"/>
      <c r="D6" s="71"/>
      <c r="E6" s="72">
        <f>'App5. Data for tables'!$E$3</f>
        <v>315</v>
      </c>
      <c r="F6" s="72">
        <f>'App5. Data for tables'!$F$3</f>
        <v>315</v>
      </c>
      <c r="G6" s="72">
        <f>'App5. Data for tables'!$G$3</f>
        <v>315</v>
      </c>
      <c r="H6" s="72">
        <f>'App5. Data for tables'!$H$3</f>
        <v>315</v>
      </c>
      <c r="I6" s="49"/>
      <c r="J6" s="324"/>
      <c r="K6" s="75"/>
    </row>
    <row r="7" spans="1:12">
      <c r="B7" s="49"/>
      <c r="C7" s="53"/>
      <c r="D7" s="53"/>
      <c r="E7" s="53"/>
      <c r="F7" s="54"/>
      <c r="G7" s="54"/>
      <c r="H7" s="54"/>
      <c r="I7" s="49"/>
      <c r="J7" s="82"/>
      <c r="K7" s="95"/>
    </row>
    <row r="8" spans="1:12">
      <c r="B8" s="56" t="s">
        <v>287</v>
      </c>
      <c r="C8" s="57"/>
      <c r="D8" s="57"/>
      <c r="E8" s="58">
        <f>E5*E6</f>
        <v>3150</v>
      </c>
      <c r="F8" s="58">
        <f>F5*F6</f>
        <v>9450</v>
      </c>
      <c r="G8" s="58">
        <f>G5*G6</f>
        <v>12600</v>
      </c>
      <c r="H8" s="58">
        <f>H5*H6</f>
        <v>15750</v>
      </c>
      <c r="I8" s="49"/>
      <c r="J8" s="107"/>
      <c r="K8" s="95"/>
    </row>
    <row r="9" spans="1:12">
      <c r="B9" s="56"/>
      <c r="C9" s="59"/>
      <c r="D9" s="59"/>
      <c r="E9" s="59"/>
      <c r="F9" s="55"/>
      <c r="G9" s="55"/>
      <c r="H9" s="379"/>
      <c r="I9" s="49"/>
      <c r="J9" s="82"/>
      <c r="K9" s="104"/>
    </row>
    <row r="10" spans="1:12">
      <c r="B10" s="60" t="s">
        <v>45</v>
      </c>
      <c r="C10" s="53"/>
      <c r="D10" s="53"/>
      <c r="E10" s="53"/>
      <c r="F10" s="53"/>
      <c r="G10" s="53"/>
      <c r="H10" s="53"/>
      <c r="I10" s="49"/>
      <c r="J10" s="325"/>
    </row>
    <row r="11" spans="1:12">
      <c r="B11" s="61" t="s">
        <v>8</v>
      </c>
      <c r="C11" s="49"/>
      <c r="D11" s="49"/>
      <c r="E11" s="49"/>
      <c r="F11" s="49"/>
      <c r="G11" s="49"/>
      <c r="H11" s="49"/>
      <c r="I11" s="49"/>
      <c r="J11" s="177"/>
    </row>
    <row r="12" spans="1:12">
      <c r="B12" s="62" t="s">
        <v>44</v>
      </c>
      <c r="C12" s="54">
        <f>'App1. Estab Costs'!$G$7</f>
        <v>576.5</v>
      </c>
      <c r="D12" s="54"/>
      <c r="E12" s="54"/>
      <c r="F12" s="54"/>
      <c r="G12" s="54"/>
      <c r="H12" s="54"/>
      <c r="I12" s="49"/>
      <c r="J12" s="324"/>
      <c r="L12" s="84"/>
    </row>
    <row r="13" spans="1:12">
      <c r="B13" s="62" t="s">
        <v>79</v>
      </c>
      <c r="C13" s="54">
        <f>'App1. Estab Costs'!$G$12</f>
        <v>10323.719999999999</v>
      </c>
      <c r="D13" s="54"/>
      <c r="E13" s="54"/>
      <c r="F13" s="54"/>
      <c r="G13" s="54"/>
      <c r="H13" s="54"/>
      <c r="I13" s="49"/>
      <c r="J13" s="324"/>
    </row>
    <row r="14" spans="1:12">
      <c r="B14" s="61" t="s">
        <v>12</v>
      </c>
      <c r="C14" s="54"/>
      <c r="D14" s="54"/>
      <c r="E14" s="54"/>
      <c r="F14" s="54"/>
      <c r="G14" s="54"/>
      <c r="H14" s="54"/>
      <c r="I14" s="49"/>
      <c r="J14" s="177"/>
    </row>
    <row r="15" spans="1:12" ht="18">
      <c r="B15" s="62" t="s">
        <v>326</v>
      </c>
      <c r="C15" s="63">
        <f>'App1. Estab Costs'!$G$23</f>
        <v>156</v>
      </c>
      <c r="D15" s="63">
        <f>'App1. Estab Costs'!$G$43</f>
        <v>338</v>
      </c>
      <c r="E15" s="63">
        <f>'App1. Estab Costs'!$G$63</f>
        <v>390</v>
      </c>
      <c r="F15" s="63">
        <f>'App1. Estab Costs'!$G$89</f>
        <v>299</v>
      </c>
      <c r="G15" s="63">
        <f>'App1. Estab Costs'!$G$114</f>
        <v>429</v>
      </c>
      <c r="H15" s="63">
        <f>'App2. Full Prod Costs'!$G$4</f>
        <v>546</v>
      </c>
      <c r="I15" s="49"/>
      <c r="J15" s="324"/>
    </row>
    <row r="16" spans="1:12" ht="18">
      <c r="B16" s="62" t="s">
        <v>328</v>
      </c>
      <c r="C16" s="63">
        <f>'App1. Estab Costs'!G24</f>
        <v>78</v>
      </c>
      <c r="D16" s="63">
        <f>'App1. Estab Costs'!G44</f>
        <v>221</v>
      </c>
      <c r="E16" s="63">
        <f>'App1. Estab Costs'!$G$64</f>
        <v>221</v>
      </c>
      <c r="F16" s="63">
        <f>'App1. Estab Costs'!$G$90</f>
        <v>442</v>
      </c>
      <c r="G16" s="63">
        <f>'App1. Estab Costs'!$G$115</f>
        <v>650</v>
      </c>
      <c r="H16" s="63">
        <f>'App2. Full Prod Costs'!$G$5</f>
        <v>806</v>
      </c>
      <c r="I16" s="49"/>
      <c r="J16" s="324"/>
    </row>
    <row r="17" spans="1:12" ht="18">
      <c r="A17" s="50"/>
      <c r="B17" s="62" t="s">
        <v>329</v>
      </c>
      <c r="C17" s="54">
        <f>'App1. Estab Costs'!$G$34</f>
        <v>140</v>
      </c>
      <c r="D17" s="54">
        <f>'App1. Estab Costs'!$G$54</f>
        <v>140</v>
      </c>
      <c r="E17" s="54">
        <f>'App1. Estab Costs'!$G$75</f>
        <v>140</v>
      </c>
      <c r="F17" s="54">
        <f>'App1. Estab Costs'!$G$101</f>
        <v>140</v>
      </c>
      <c r="G17" s="54">
        <f>'App1. Estab Costs'!$G$126</f>
        <v>140</v>
      </c>
      <c r="H17" s="54">
        <f>'App2. Full Prod Costs'!$G$16</f>
        <v>140</v>
      </c>
      <c r="I17" s="49"/>
      <c r="J17" s="324"/>
    </row>
    <row r="18" spans="1:12" ht="18">
      <c r="B18" s="62" t="s">
        <v>330</v>
      </c>
      <c r="C18" s="63">
        <f>'App1. Estab Costs'!$G$25</f>
        <v>567</v>
      </c>
      <c r="D18" s="63">
        <f>'App1. Estab Costs'!$G$45</f>
        <v>609</v>
      </c>
      <c r="E18" s="63">
        <f>'App1. Estab Costs'!$G$65</f>
        <v>735</v>
      </c>
      <c r="F18" s="63">
        <f>'App1. Estab Costs'!$G$91</f>
        <v>940</v>
      </c>
      <c r="G18" s="63">
        <f>'App1. Estab Costs'!$G$116</f>
        <v>1150</v>
      </c>
      <c r="H18" s="63">
        <f>'App2. Full Prod Costs'!$G$6</f>
        <v>1178</v>
      </c>
      <c r="I18" s="49"/>
      <c r="J18" s="324"/>
    </row>
    <row r="19" spans="1:12" ht="18">
      <c r="B19" s="62" t="s">
        <v>331</v>
      </c>
      <c r="C19" s="63">
        <f>'App1. Estab Costs'!$G$28</f>
        <v>320</v>
      </c>
      <c r="D19" s="63">
        <f>'App1. Estab Costs'!$G$48</f>
        <v>320</v>
      </c>
      <c r="E19" s="63">
        <f>'App1. Estab Costs'!$G$68</f>
        <v>348</v>
      </c>
      <c r="F19" s="63">
        <f>'App1. Estab Costs'!$G$94</f>
        <v>348</v>
      </c>
      <c r="G19" s="63">
        <f>'App1. Estab Costs'!$G$119</f>
        <v>348</v>
      </c>
      <c r="H19" s="63">
        <f>'App2. Full Prod Costs'!$G$9</f>
        <v>348</v>
      </c>
      <c r="I19" s="49"/>
      <c r="J19" s="324"/>
    </row>
    <row r="20" spans="1:12" ht="18">
      <c r="A20" s="50"/>
      <c r="B20" s="62" t="s">
        <v>332</v>
      </c>
      <c r="C20" s="54"/>
      <c r="D20" s="54"/>
      <c r="E20" s="54">
        <f>'App1. Estab Costs'!$G$77</f>
        <v>5.6000000000000005</v>
      </c>
      <c r="F20" s="54">
        <f>'App1. Estab Costs'!$G$102</f>
        <v>5.6000000000000005</v>
      </c>
      <c r="G20" s="54">
        <f>'App1. Estab Costs'!$G$127</f>
        <v>5.6000000000000005</v>
      </c>
      <c r="H20" s="54">
        <f>'App2. Full Prod Costs'!$G$17</f>
        <v>5.6000000000000005</v>
      </c>
      <c r="I20" s="49"/>
      <c r="J20" s="324"/>
    </row>
    <row r="21" spans="1:12">
      <c r="A21" s="50"/>
      <c r="B21" s="62" t="s">
        <v>13</v>
      </c>
      <c r="C21" s="54"/>
      <c r="D21" s="54"/>
      <c r="E21" s="54">
        <f>'App1. Estab Costs'!$G$71</f>
        <v>55</v>
      </c>
      <c r="F21" s="54">
        <f>'App1. Estab Costs'!$G$97</f>
        <v>55</v>
      </c>
      <c r="G21" s="54">
        <f>'App1. Estab Costs'!$G$122</f>
        <v>55</v>
      </c>
      <c r="H21" s="54">
        <f>'App2. Full Prod Costs'!$G$12</f>
        <v>55</v>
      </c>
      <c r="I21" s="49"/>
      <c r="J21" s="324"/>
    </row>
    <row r="22" spans="1:12" ht="18">
      <c r="A22" s="50"/>
      <c r="B22" s="62" t="s">
        <v>336</v>
      </c>
      <c r="C22" s="54">
        <f>'App1. Estab Costs'!$G$31</f>
        <v>125</v>
      </c>
      <c r="D22" s="54">
        <f>'App1. Estab Costs'!$G$51</f>
        <v>125</v>
      </c>
      <c r="E22" s="54">
        <f>'App1. Estab Costs'!$G$72</f>
        <v>300</v>
      </c>
      <c r="F22" s="54">
        <f>'App1. Estab Costs'!$G$98</f>
        <v>300</v>
      </c>
      <c r="G22" s="54">
        <f>'App1. Estab Costs'!$G$123</f>
        <v>300</v>
      </c>
      <c r="H22" s="54">
        <f>'App2. Full Prod Costs'!$G$13</f>
        <v>300</v>
      </c>
      <c r="I22" s="49"/>
      <c r="J22" s="324"/>
    </row>
    <row r="23" spans="1:12">
      <c r="A23" s="50"/>
      <c r="B23" s="62" t="s">
        <v>171</v>
      </c>
      <c r="C23" s="54">
        <f>'App1. Estab Costs'!$G$32+'App1. Estab Costs'!$G$33</f>
        <v>335</v>
      </c>
      <c r="D23" s="54">
        <f>'App1. Estab Costs'!$G$52+'App1. Estab Costs'!$G$53</f>
        <v>335</v>
      </c>
      <c r="E23" s="54">
        <f>'App1. Estab Costs'!$G$73+'App1. Estab Costs'!$G$74</f>
        <v>335</v>
      </c>
      <c r="F23" s="54">
        <f>'App1. Estab Costs'!$G$99+'App1. Estab Costs'!$G$100</f>
        <v>335</v>
      </c>
      <c r="G23" s="54">
        <f>'App1. Estab Costs'!$G$124+'App1. Estab Costs'!$G$125</f>
        <v>335</v>
      </c>
      <c r="H23" s="54">
        <f>'App2. Full Prod Costs'!$G$14+'App2. Full Prod Costs'!$G$15</f>
        <v>335</v>
      </c>
      <c r="I23" s="49"/>
      <c r="J23" s="324"/>
    </row>
    <row r="24" spans="1:12" ht="18">
      <c r="A24" s="50"/>
      <c r="B24" s="61" t="s">
        <v>337</v>
      </c>
      <c r="C24" s="54"/>
      <c r="D24" s="54"/>
      <c r="E24" s="54">
        <f>'App1. Estab Costs'!$G$86</f>
        <v>600</v>
      </c>
      <c r="F24" s="54">
        <f>'App1. Estab Costs'!$G$111</f>
        <v>1800</v>
      </c>
      <c r="G24" s="54">
        <f>'App1. Estab Costs'!$G$136</f>
        <v>2400</v>
      </c>
      <c r="H24" s="54">
        <f>'App2. Full Prod Costs'!$G$26</f>
        <v>3000</v>
      </c>
      <c r="I24" s="49"/>
      <c r="J24" s="324"/>
    </row>
    <row r="25" spans="1:12" ht="15" customHeight="1">
      <c r="A25" s="50"/>
      <c r="B25" s="61" t="s">
        <v>18</v>
      </c>
      <c r="C25" s="54"/>
      <c r="D25" s="54"/>
      <c r="E25" s="54"/>
      <c r="F25" s="54"/>
      <c r="G25" s="54"/>
      <c r="H25" s="54"/>
      <c r="I25" s="49"/>
      <c r="J25" s="177"/>
    </row>
    <row r="26" spans="1:12" ht="15" customHeight="1">
      <c r="A26" s="50"/>
      <c r="B26" s="62" t="s">
        <v>164</v>
      </c>
      <c r="C26" s="54">
        <f>'App1. Estab Costs'!$G$35</f>
        <v>147</v>
      </c>
      <c r="D26" s="54">
        <f>'App1. Estab Costs'!$G$55</f>
        <v>197</v>
      </c>
      <c r="E26" s="54">
        <f>'App1. Estab Costs'!$G$78</f>
        <v>197</v>
      </c>
      <c r="F26" s="54">
        <f>'App1. Estab Costs'!$G$103</f>
        <v>206.5</v>
      </c>
      <c r="G26" s="54">
        <f>'App1. Estab Costs'!$G$128</f>
        <v>206.5</v>
      </c>
      <c r="H26" s="54">
        <f>'App2. Full Prod Costs'!$G$18</f>
        <v>230.5</v>
      </c>
      <c r="I26" s="49"/>
      <c r="J26" s="324"/>
    </row>
    <row r="27" spans="1:12" ht="15" customHeight="1">
      <c r="A27" s="50"/>
      <c r="B27" s="62" t="s">
        <v>73</v>
      </c>
      <c r="C27" s="54">
        <f>'App1. Estab Costs'!$G$36</f>
        <v>85</v>
      </c>
      <c r="D27" s="54">
        <f>'App1. Estab Costs'!$G$56</f>
        <v>95</v>
      </c>
      <c r="E27" s="54">
        <f>'App1. Estab Costs'!$G$79</f>
        <v>125</v>
      </c>
      <c r="F27" s="54">
        <f>'App1. Estab Costs'!$G$104</f>
        <v>180</v>
      </c>
      <c r="G27" s="54">
        <f>'App1. Estab Costs'!$G$129</f>
        <v>180</v>
      </c>
      <c r="H27" s="54">
        <f>'App2. Full Prod Costs'!$G$19</f>
        <v>180</v>
      </c>
      <c r="I27" s="49"/>
      <c r="J27" s="324"/>
    </row>
    <row r="28" spans="1:12">
      <c r="A28" s="50"/>
      <c r="B28" s="61" t="s">
        <v>22</v>
      </c>
      <c r="C28" s="54"/>
      <c r="D28" s="54"/>
      <c r="E28" s="54"/>
      <c r="F28" s="54"/>
      <c r="G28" s="54"/>
      <c r="H28" s="54"/>
      <c r="I28" s="49"/>
      <c r="J28" s="177"/>
    </row>
    <row r="29" spans="1:12">
      <c r="A29" s="50"/>
      <c r="B29" s="62" t="s">
        <v>180</v>
      </c>
      <c r="C29" s="54"/>
      <c r="D29" s="54"/>
      <c r="E29" s="54">
        <f>'App1. Estab Costs'!$G$83</f>
        <v>190</v>
      </c>
      <c r="F29" s="54">
        <f>'App1. Estab Costs'!$G$108</f>
        <v>190</v>
      </c>
      <c r="G29" s="54">
        <f>'App1. Estab Costs'!$G$133</f>
        <v>190</v>
      </c>
      <c r="H29" s="54">
        <f>'App2. Full Prod Costs'!$G$23</f>
        <v>190</v>
      </c>
      <c r="I29" s="49"/>
      <c r="J29" s="177"/>
    </row>
    <row r="30" spans="1:12" ht="18">
      <c r="A30" s="50"/>
      <c r="B30" s="62" t="s">
        <v>366</v>
      </c>
      <c r="C30" s="54">
        <f>SUM(C10:C29)*'App5. Data for tables'!$C$60</f>
        <v>642.66100000000006</v>
      </c>
      <c r="D30" s="54">
        <f>SUM(D10:D29)*'App5. Data for tables'!$C$60</f>
        <v>119</v>
      </c>
      <c r="E30" s="54">
        <f>SUM(E10:E29)*'App5. Data for tables'!$C$60</f>
        <v>182.08</v>
      </c>
      <c r="F30" s="54">
        <f>SUM(F10:F29)*'App5. Data for tables'!$C$60</f>
        <v>262.05500000000001</v>
      </c>
      <c r="G30" s="54">
        <f>SUM(G10:G29)*'App5. Data for tables'!$C$60</f>
        <v>319.45500000000004</v>
      </c>
      <c r="H30" s="54">
        <f>SUM(H10:H29)*'App5. Data for tables'!$C$60</f>
        <v>365.70500000000004</v>
      </c>
      <c r="I30" s="49"/>
      <c r="J30" s="324"/>
    </row>
    <row r="31" spans="1:12" ht="18">
      <c r="A31" s="50"/>
      <c r="B31" s="62" t="s">
        <v>367</v>
      </c>
      <c r="C31" s="54">
        <f>SUM(C10:C30)*'App5. Data for tables'!$C$61*'App5. Data for tables'!$C$63</f>
        <v>674.79404999999997</v>
      </c>
      <c r="D31" s="54">
        <f>SUM(D10:D30)*'App5. Data for tables'!$D$61*'App5. Data for tables'!$D$63</f>
        <v>124.95</v>
      </c>
      <c r="E31" s="54">
        <f>SUM(E10:E30)*'App5. Data for tables'!$E$61*'App5. Data for tables'!$E$63</f>
        <v>191.184</v>
      </c>
      <c r="F31" s="54">
        <f>SUM(F10:F30)*'App5. Data for tables'!$F$61*'App5. Data for tables'!$F$63</f>
        <v>275.15775000000002</v>
      </c>
      <c r="G31" s="54">
        <f>SUM(G10:G30)*'App5. Data for tables'!$G$61*'App5. Data for tables'!$G$63</f>
        <v>335.42775000000006</v>
      </c>
      <c r="H31" s="54">
        <f>SUM(H10:H30)*'App5. Data for tables'!$H$61*'App5. Data for tables'!$H$63</f>
        <v>287.99268750000005</v>
      </c>
      <c r="I31" s="49"/>
      <c r="J31" s="324"/>
      <c r="L31" s="84"/>
    </row>
    <row r="32" spans="1:12">
      <c r="A32" s="50"/>
      <c r="B32" s="62"/>
      <c r="C32" s="54"/>
      <c r="D32" s="54"/>
      <c r="E32" s="54"/>
      <c r="F32" s="54"/>
      <c r="G32" s="54"/>
      <c r="H32" s="54"/>
      <c r="I32" s="49"/>
      <c r="J32" s="326"/>
    </row>
    <row r="33" spans="1:10">
      <c r="A33" s="50"/>
      <c r="B33" s="56" t="s">
        <v>25</v>
      </c>
      <c r="C33" s="58">
        <f t="shared" ref="C33:H33" si="0">SUM(C10:C31)</f>
        <v>14170.67505</v>
      </c>
      <c r="D33" s="58">
        <f t="shared" si="0"/>
        <v>2623.95</v>
      </c>
      <c r="E33" s="58">
        <f t="shared" si="0"/>
        <v>4014.864</v>
      </c>
      <c r="F33" s="58">
        <f t="shared" si="0"/>
        <v>5778.312750000001</v>
      </c>
      <c r="G33" s="58">
        <f t="shared" si="0"/>
        <v>7043.9827500000001</v>
      </c>
      <c r="H33" s="58">
        <f t="shared" si="0"/>
        <v>7967.7976875000004</v>
      </c>
      <c r="I33" s="49"/>
      <c r="J33" s="327"/>
    </row>
    <row r="34" spans="1:10">
      <c r="A34" s="50"/>
      <c r="B34" s="56"/>
      <c r="C34" s="59"/>
      <c r="D34" s="59"/>
      <c r="E34" s="59"/>
      <c r="F34" s="55"/>
      <c r="G34" s="55"/>
      <c r="H34" s="64"/>
      <c r="I34" s="49"/>
      <c r="J34" s="328"/>
    </row>
    <row r="35" spans="1:10">
      <c r="A35" s="50"/>
      <c r="B35" s="60" t="s">
        <v>46</v>
      </c>
      <c r="C35" s="49"/>
      <c r="D35" s="49"/>
      <c r="E35" s="49"/>
      <c r="F35" s="49"/>
      <c r="G35" s="49"/>
      <c r="H35" s="54"/>
      <c r="I35" s="49"/>
      <c r="J35" s="80"/>
    </row>
    <row r="36" spans="1:10">
      <c r="A36" s="50"/>
      <c r="B36" s="65" t="s">
        <v>10</v>
      </c>
      <c r="C36" s="54"/>
      <c r="D36" s="54"/>
      <c r="E36" s="54"/>
      <c r="F36" s="54"/>
      <c r="G36" s="54"/>
      <c r="H36" s="54"/>
      <c r="I36" s="49"/>
      <c r="J36" s="80"/>
    </row>
    <row r="37" spans="1:10">
      <c r="A37" s="50"/>
      <c r="B37" s="62" t="s">
        <v>6</v>
      </c>
      <c r="C37" s="54">
        <f>'Int. Costs &amp; Depr.'!$G$21</f>
        <v>100</v>
      </c>
      <c r="D37" s="54">
        <f>'Int. Costs &amp; Depr.'!$G$21</f>
        <v>100</v>
      </c>
      <c r="E37" s="54">
        <f>'Int. Costs &amp; Depr.'!$G$21</f>
        <v>100</v>
      </c>
      <c r="F37" s="54">
        <f>'Int. Costs &amp; Depr.'!$G$21</f>
        <v>100</v>
      </c>
      <c r="G37" s="54">
        <f>'Int. Costs &amp; Depr.'!$G$21</f>
        <v>100</v>
      </c>
      <c r="H37" s="54">
        <f>'Int. Costs &amp; Depr.'!$G$21</f>
        <v>100</v>
      </c>
      <c r="I37" s="49"/>
      <c r="J37" s="324"/>
    </row>
    <row r="38" spans="1:10">
      <c r="A38" s="50"/>
      <c r="B38" s="296" t="s">
        <v>383</v>
      </c>
      <c r="C38" s="55">
        <f>'Int. Costs &amp; Depr.'!$G$26</f>
        <v>291.16666666666669</v>
      </c>
      <c r="D38" s="55">
        <f>'Int. Costs &amp; Depr.'!$G$26</f>
        <v>291.16666666666669</v>
      </c>
      <c r="E38" s="55">
        <f>'Int. Costs &amp; Depr.'!$G$26</f>
        <v>291.16666666666669</v>
      </c>
      <c r="F38" s="55">
        <f>'Int. Costs &amp; Depr.'!$G$26</f>
        <v>291.16666666666669</v>
      </c>
      <c r="G38" s="55">
        <f>'Int. Costs &amp; Depr.'!$G$26</f>
        <v>291.16666666666669</v>
      </c>
      <c r="H38" s="55">
        <f>'Int. Costs &amp; Depr.'!$G$26</f>
        <v>291.16666666666669</v>
      </c>
      <c r="I38" s="49"/>
      <c r="J38" s="324"/>
    </row>
    <row r="39" spans="1:10">
      <c r="A39" s="50"/>
      <c r="B39" s="62" t="s">
        <v>7</v>
      </c>
      <c r="C39" s="54">
        <f>'Int. Costs &amp; Depr.'!$G$22</f>
        <v>21.666666666666668</v>
      </c>
      <c r="D39" s="54">
        <f>'Int. Costs &amp; Depr.'!$G$22</f>
        <v>21.666666666666668</v>
      </c>
      <c r="E39" s="54">
        <f>'Int. Costs &amp; Depr.'!$G$22</f>
        <v>21.666666666666668</v>
      </c>
      <c r="F39" s="54">
        <f>'Int. Costs &amp; Depr.'!$G$22</f>
        <v>21.666666666666668</v>
      </c>
      <c r="G39" s="54">
        <f>'Int. Costs &amp; Depr.'!$G$22</f>
        <v>21.666666666666668</v>
      </c>
      <c r="H39" s="54">
        <f>'Int. Costs &amp; Depr.'!$G$22</f>
        <v>21.666666666666668</v>
      </c>
      <c r="I39" s="49"/>
      <c r="J39" s="324"/>
    </row>
    <row r="40" spans="1:10">
      <c r="A40" s="50"/>
      <c r="B40" s="62" t="s">
        <v>9</v>
      </c>
      <c r="C40" s="54">
        <f>'Int. Costs &amp; Depr.'!$G$23</f>
        <v>6</v>
      </c>
      <c r="D40" s="54">
        <f>'Int. Costs &amp; Depr.'!$G$23</f>
        <v>6</v>
      </c>
      <c r="E40" s="54">
        <f>'Int. Costs &amp; Depr.'!$G$23</f>
        <v>6</v>
      </c>
      <c r="F40" s="54">
        <f>'Int. Costs &amp; Depr.'!$G$23</f>
        <v>6</v>
      </c>
      <c r="G40" s="54">
        <f>'Int. Costs &amp; Depr.'!$G$23</f>
        <v>6</v>
      </c>
      <c r="H40" s="54">
        <f>'Int. Costs &amp; Depr.'!$G$23</f>
        <v>6</v>
      </c>
      <c r="I40" s="49"/>
      <c r="J40" s="324"/>
    </row>
    <row r="41" spans="1:10">
      <c r="A41" s="50"/>
      <c r="B41" s="62" t="s">
        <v>11</v>
      </c>
      <c r="C41" s="54">
        <f>'Int. Costs &amp; Depr.'!$G$24</f>
        <v>83.333333333333329</v>
      </c>
      <c r="D41" s="54">
        <f>'Int. Costs &amp; Depr.'!$G$24</f>
        <v>83.333333333333329</v>
      </c>
      <c r="E41" s="54">
        <f>'Int. Costs &amp; Depr.'!$G$24</f>
        <v>83.333333333333329</v>
      </c>
      <c r="F41" s="54">
        <f>'Int. Costs &amp; Depr.'!$G$24</f>
        <v>83.333333333333329</v>
      </c>
      <c r="G41" s="54">
        <f>'Int. Costs &amp; Depr.'!$G$24</f>
        <v>83.333333333333329</v>
      </c>
      <c r="H41" s="54">
        <f>'Int. Costs &amp; Depr.'!$G$24</f>
        <v>83.333333333333329</v>
      </c>
      <c r="I41" s="49"/>
      <c r="J41" s="324"/>
    </row>
    <row r="42" spans="1:10">
      <c r="A42" s="50"/>
      <c r="B42" s="62" t="s">
        <v>27</v>
      </c>
      <c r="C42" s="54"/>
      <c r="D42" s="54"/>
      <c r="E42" s="54">
        <f>'Int. Costs &amp; Depr.'!$G$25</f>
        <v>137.63200000000001</v>
      </c>
      <c r="F42" s="54">
        <f>'Int. Costs &amp; Depr.'!$G$25</f>
        <v>137.63200000000001</v>
      </c>
      <c r="G42" s="54">
        <f>'Int. Costs &amp; Depr.'!$G$25</f>
        <v>137.63200000000001</v>
      </c>
      <c r="H42" s="54">
        <f>'Int. Costs &amp; Depr.'!$G$25</f>
        <v>137.63200000000001</v>
      </c>
      <c r="I42" s="49"/>
      <c r="J42" s="324"/>
    </row>
    <row r="43" spans="1:10">
      <c r="A43" s="50"/>
      <c r="B43" s="61" t="s">
        <v>14</v>
      </c>
      <c r="C43" s="54"/>
      <c r="D43" s="54"/>
      <c r="E43" s="54"/>
      <c r="F43" s="54"/>
      <c r="G43" s="54"/>
      <c r="H43" s="54"/>
      <c r="I43" s="49"/>
      <c r="J43" s="80"/>
    </row>
    <row r="44" spans="1:10">
      <c r="A44" s="50"/>
      <c r="B44" s="62" t="s">
        <v>6</v>
      </c>
      <c r="C44" s="54">
        <f>'Int. Costs &amp; Depr.'!$G$4</f>
        <v>75</v>
      </c>
      <c r="D44" s="54">
        <f>'Int. Costs &amp; Depr.'!$G$4</f>
        <v>75</v>
      </c>
      <c r="E44" s="54">
        <f>'Int. Costs &amp; Depr.'!$G$4</f>
        <v>75</v>
      </c>
      <c r="F44" s="54">
        <f>'Int. Costs &amp; Depr.'!$G$4</f>
        <v>75</v>
      </c>
      <c r="G44" s="54">
        <f>'Int. Costs &amp; Depr.'!$G$4</f>
        <v>75</v>
      </c>
      <c r="H44" s="54">
        <f>'Int. Costs &amp; Depr.'!$G$4</f>
        <v>75</v>
      </c>
      <c r="I44" s="49"/>
      <c r="J44" s="324"/>
    </row>
    <row r="45" spans="1:10" ht="18">
      <c r="A45" s="50"/>
      <c r="B45" s="62" t="s">
        <v>370</v>
      </c>
      <c r="C45" s="54">
        <f>'Int. Costs &amp; Depr.'!$G$5</f>
        <v>600</v>
      </c>
      <c r="D45" s="54">
        <f>'Int. Costs &amp; Depr.'!$G$5</f>
        <v>600</v>
      </c>
      <c r="E45" s="54">
        <f>'Int. Costs &amp; Depr.'!$G$5</f>
        <v>600</v>
      </c>
      <c r="F45" s="54">
        <f>'Int. Costs &amp; Depr.'!$G$5</f>
        <v>600</v>
      </c>
      <c r="G45" s="54">
        <f>'Int. Costs &amp; Depr.'!$G$5</f>
        <v>600</v>
      </c>
      <c r="H45" s="54">
        <f>'Int. Costs &amp; Depr.'!$G$5</f>
        <v>600</v>
      </c>
      <c r="I45" s="49"/>
      <c r="J45" s="324"/>
    </row>
    <row r="46" spans="1:10">
      <c r="A46" s="50"/>
      <c r="B46" s="296" t="s">
        <v>383</v>
      </c>
      <c r="C46" s="54">
        <f>'Int. Costs &amp; Depr.'!$G$6</f>
        <v>112.25</v>
      </c>
      <c r="D46" s="54">
        <f>'Int. Costs &amp; Depr.'!$G$6</f>
        <v>112.25</v>
      </c>
      <c r="E46" s="54">
        <f>'Int. Costs &amp; Depr.'!$G$6</f>
        <v>112.25</v>
      </c>
      <c r="F46" s="54">
        <f>'Int. Costs &amp; Depr.'!$G$6</f>
        <v>112.25</v>
      </c>
      <c r="G46" s="54">
        <f>'Int. Costs &amp; Depr.'!$G$6</f>
        <v>112.25</v>
      </c>
      <c r="H46" s="54">
        <f>'Int. Costs &amp; Depr.'!$G$6</f>
        <v>112.25</v>
      </c>
      <c r="I46" s="49"/>
      <c r="J46" s="324"/>
    </row>
    <row r="47" spans="1:10">
      <c r="A47" s="50"/>
      <c r="B47" s="62" t="s">
        <v>7</v>
      </c>
      <c r="C47" s="54">
        <f>'Int. Costs &amp; Depr.'!$G$7</f>
        <v>16.25</v>
      </c>
      <c r="D47" s="54">
        <f>'Int. Costs &amp; Depr.'!$G$7</f>
        <v>16.25</v>
      </c>
      <c r="E47" s="54">
        <f>'Int. Costs &amp; Depr.'!$G$7</f>
        <v>16.25</v>
      </c>
      <c r="F47" s="54">
        <f>'Int. Costs &amp; Depr.'!$G$7</f>
        <v>16.25</v>
      </c>
      <c r="G47" s="54">
        <f>'Int. Costs &amp; Depr.'!$G$7</f>
        <v>16.25</v>
      </c>
      <c r="H47" s="54">
        <f>'Int. Costs &amp; Depr.'!$G$7</f>
        <v>16.25</v>
      </c>
      <c r="I47" s="49"/>
      <c r="J47" s="324"/>
    </row>
    <row r="48" spans="1:10">
      <c r="A48" s="50"/>
      <c r="B48" s="62" t="s">
        <v>9</v>
      </c>
      <c r="C48" s="54">
        <f>'Int. Costs &amp; Depr.'!$G$8</f>
        <v>7.5</v>
      </c>
      <c r="D48" s="54">
        <f>'Int. Costs &amp; Depr.'!$G$8</f>
        <v>7.5</v>
      </c>
      <c r="E48" s="54">
        <f>'Int. Costs &amp; Depr.'!$G$8</f>
        <v>7.5</v>
      </c>
      <c r="F48" s="54">
        <f>'Int. Costs &amp; Depr.'!$G$8</f>
        <v>7.5</v>
      </c>
      <c r="G48" s="54">
        <f>'Int. Costs &amp; Depr.'!$G$8</f>
        <v>7.5</v>
      </c>
      <c r="H48" s="54">
        <f>'Int. Costs &amp; Depr.'!$G$8</f>
        <v>7.5</v>
      </c>
      <c r="I48" s="49"/>
      <c r="J48" s="324"/>
    </row>
    <row r="49" spans="1:10">
      <c r="A49" s="50"/>
      <c r="B49" s="62" t="s">
        <v>11</v>
      </c>
      <c r="C49" s="54">
        <f>'Int. Costs &amp; Depr.'!$G$9</f>
        <v>62.5</v>
      </c>
      <c r="D49" s="54">
        <f>'Int. Costs &amp; Depr.'!$G$9</f>
        <v>62.5</v>
      </c>
      <c r="E49" s="54">
        <f>'Int. Costs &amp; Depr.'!$G$9</f>
        <v>62.5</v>
      </c>
      <c r="F49" s="54">
        <f>'Int. Costs &amp; Depr.'!$G$9</f>
        <v>62.5</v>
      </c>
      <c r="G49" s="54">
        <f>'Int. Costs &amp; Depr.'!$G$9</f>
        <v>62.5</v>
      </c>
      <c r="H49" s="54">
        <f>'Int. Costs &amp; Depr.'!$G$9</f>
        <v>62.5</v>
      </c>
      <c r="I49" s="49"/>
      <c r="J49" s="324"/>
    </row>
    <row r="50" spans="1:10">
      <c r="A50" s="50"/>
      <c r="B50" s="62" t="s">
        <v>146</v>
      </c>
      <c r="C50" s="54"/>
      <c r="D50" s="54"/>
      <c r="E50" s="54">
        <f>'Int. Costs &amp; Depr.'!$G$10</f>
        <v>103.224</v>
      </c>
      <c r="F50" s="54">
        <f>'Int. Costs &amp; Depr.'!$G$10</f>
        <v>103.224</v>
      </c>
      <c r="G50" s="54">
        <f>'Int. Costs &amp; Depr.'!$G$10</f>
        <v>103.224</v>
      </c>
      <c r="H50" s="54">
        <f>'Int. Costs &amp; Depr.'!$G$10</f>
        <v>103.224</v>
      </c>
      <c r="I50" s="49"/>
      <c r="J50" s="324"/>
    </row>
    <row r="51" spans="1:10">
      <c r="A51" s="50"/>
      <c r="B51" s="62" t="s">
        <v>80</v>
      </c>
      <c r="C51" s="54"/>
      <c r="D51" s="54">
        <f>C65*'App5. Data for tables'!$C$62</f>
        <v>810.56708583333329</v>
      </c>
      <c r="E51" s="54">
        <f>D65*'App5. Data for tables'!$D$62</f>
        <v>1084.3262734583334</v>
      </c>
      <c r="F51" s="54">
        <f>E65*'App5. Data for tables'!$E$62</f>
        <v>1295.8619204645836</v>
      </c>
      <c r="G51" s="54">
        <f>F65*'App5. Data for tables'!$F$62</f>
        <v>1291.1467873211459</v>
      </c>
      <c r="H51" s="54"/>
      <c r="I51" s="49"/>
      <c r="J51" s="324"/>
    </row>
    <row r="52" spans="1:10">
      <c r="A52" s="50"/>
      <c r="B52" s="61" t="s">
        <v>17</v>
      </c>
      <c r="C52" s="54"/>
      <c r="D52" s="54"/>
      <c r="E52" s="54"/>
      <c r="F52" s="54"/>
      <c r="G52" s="54"/>
      <c r="H52" s="54"/>
      <c r="I52" s="49"/>
      <c r="J52" s="80"/>
    </row>
    <row r="53" spans="1:10">
      <c r="A53" s="50"/>
      <c r="B53" s="62" t="s">
        <v>140</v>
      </c>
      <c r="C53" s="54">
        <f>'App1. Estab Costs'!$G$37</f>
        <v>100</v>
      </c>
      <c r="D53" s="54">
        <f>'App1. Estab Costs'!$G$57</f>
        <v>100</v>
      </c>
      <c r="E53" s="54">
        <f>'App1. Estab Costs'!$G$80</f>
        <v>100</v>
      </c>
      <c r="F53" s="54">
        <f>'App1. Estab Costs'!$G$105</f>
        <v>100</v>
      </c>
      <c r="G53" s="54">
        <f>'App1. Estab Costs'!$G$130</f>
        <v>100</v>
      </c>
      <c r="H53" s="54">
        <f>'App2. Full Prod Costs'!$G$20</f>
        <v>100</v>
      </c>
      <c r="I53" s="49"/>
      <c r="J53" s="324"/>
    </row>
    <row r="54" spans="1:10">
      <c r="A54" s="50"/>
      <c r="B54" s="62" t="s">
        <v>67</v>
      </c>
      <c r="C54" s="54">
        <f>'App1. Estab Costs'!G38</f>
        <v>120</v>
      </c>
      <c r="D54" s="54">
        <f>'App1. Estab Costs'!$G$58</f>
        <v>120</v>
      </c>
      <c r="E54" s="54">
        <f>'App1. Estab Costs'!$G$81</f>
        <v>120</v>
      </c>
      <c r="F54" s="54">
        <f>'App1. Estab Costs'!$G$106</f>
        <v>120</v>
      </c>
      <c r="G54" s="54">
        <f>'App1. Estab Costs'!$G$131</f>
        <v>120</v>
      </c>
      <c r="H54" s="54">
        <f>'App2. Full Prod Costs'!$G$21</f>
        <v>120</v>
      </c>
      <c r="I54" s="49"/>
      <c r="J54" s="324"/>
    </row>
    <row r="55" spans="1:10">
      <c r="A55" s="50"/>
      <c r="B55" s="62" t="s">
        <v>19</v>
      </c>
      <c r="C55" s="54">
        <f>'App1. Estab Costs'!G39</f>
        <v>145</v>
      </c>
      <c r="D55" s="54">
        <f>'App1. Estab Costs'!$G$59</f>
        <v>145</v>
      </c>
      <c r="E55" s="54">
        <f>'App1. Estab Costs'!$G$82</f>
        <v>145</v>
      </c>
      <c r="F55" s="54">
        <f>'App1. Estab Costs'!$G$107</f>
        <v>145</v>
      </c>
      <c r="G55" s="54">
        <f>'App1. Estab Costs'!$G$132</f>
        <v>145</v>
      </c>
      <c r="H55" s="54">
        <f>'App2. Full Prod Costs'!$G$22</f>
        <v>145</v>
      </c>
      <c r="I55" s="49"/>
      <c r="J55" s="324"/>
    </row>
    <row r="56" spans="1:10">
      <c r="A56" s="50"/>
      <c r="B56" s="62" t="s">
        <v>20</v>
      </c>
      <c r="C56" s="54">
        <f>'App1. Estab Costs'!G40</f>
        <v>300</v>
      </c>
      <c r="D56" s="54">
        <f>'App1. Estab Costs'!$G$60</f>
        <v>300</v>
      </c>
      <c r="E56" s="54">
        <f>'App1. Estab Costs'!$G$84</f>
        <v>300</v>
      </c>
      <c r="F56" s="54">
        <f>'App1. Estab Costs'!$G$109</f>
        <v>300</v>
      </c>
      <c r="G56" s="54">
        <f>'App1. Estab Costs'!$G$134</f>
        <v>300</v>
      </c>
      <c r="H56" s="54">
        <f>'App2. Full Prod Costs'!$G$24</f>
        <v>300</v>
      </c>
      <c r="I56" s="49"/>
      <c r="J56" s="324"/>
    </row>
    <row r="57" spans="1:10" ht="18">
      <c r="A57" s="50"/>
      <c r="B57" s="62" t="s">
        <v>371</v>
      </c>
      <c r="C57" s="49"/>
      <c r="D57" s="49"/>
      <c r="E57" s="49"/>
      <c r="F57" s="49"/>
      <c r="G57" s="49"/>
      <c r="H57" s="54">
        <f>'App4. Amort Calc'!C7</f>
        <v>1691.4773460827462</v>
      </c>
      <c r="I57" s="49"/>
      <c r="J57" s="324"/>
    </row>
    <row r="58" spans="1:10">
      <c r="A58" s="50"/>
      <c r="B58" s="62"/>
      <c r="C58" s="49"/>
      <c r="D58" s="49"/>
      <c r="E58" s="49"/>
      <c r="F58" s="49"/>
      <c r="G58" s="49"/>
      <c r="H58" s="54"/>
      <c r="I58" s="49"/>
      <c r="J58" s="80"/>
    </row>
    <row r="59" spans="1:10">
      <c r="A59" s="50"/>
      <c r="B59" s="60" t="s">
        <v>21</v>
      </c>
      <c r="C59" s="54">
        <f>SUM(C37:C57)</f>
        <v>2040.6666666666667</v>
      </c>
      <c r="D59" s="54">
        <f t="shared" ref="D59:G59" si="1">SUM(D37:D57)</f>
        <v>2851.2337525000003</v>
      </c>
      <c r="E59" s="54">
        <f t="shared" si="1"/>
        <v>3365.8489401249999</v>
      </c>
      <c r="F59" s="54">
        <f t="shared" si="1"/>
        <v>3577.3845871312501</v>
      </c>
      <c r="G59" s="54">
        <f t="shared" si="1"/>
        <v>3572.6694539878126</v>
      </c>
      <c r="H59" s="54">
        <f>SUM(H37:H57)</f>
        <v>3973.0000127494131</v>
      </c>
      <c r="I59" s="49"/>
      <c r="J59" s="329"/>
    </row>
    <row r="60" spans="1:10">
      <c r="B60" s="49"/>
      <c r="C60" s="49"/>
      <c r="D60" s="49"/>
      <c r="E60" s="49"/>
      <c r="F60" s="49"/>
      <c r="G60" s="49"/>
      <c r="H60" s="49"/>
      <c r="I60" s="49"/>
      <c r="J60" s="177"/>
    </row>
    <row r="61" spans="1:10">
      <c r="A61" s="50"/>
      <c r="B61" s="60" t="s">
        <v>23</v>
      </c>
      <c r="C61" s="58">
        <f t="shared" ref="C61:H61" si="2">C33+C59</f>
        <v>16211.341716666666</v>
      </c>
      <c r="D61" s="58">
        <f t="shared" si="2"/>
        <v>5475.1837525000001</v>
      </c>
      <c r="E61" s="58">
        <f t="shared" si="2"/>
        <v>7380.7129401250004</v>
      </c>
      <c r="F61" s="58">
        <f t="shared" si="2"/>
        <v>9355.6973371312506</v>
      </c>
      <c r="G61" s="58">
        <f t="shared" si="2"/>
        <v>10616.652203987813</v>
      </c>
      <c r="H61" s="58">
        <f t="shared" si="2"/>
        <v>11940.797700249414</v>
      </c>
      <c r="I61" s="49"/>
      <c r="J61" s="107"/>
    </row>
    <row r="62" spans="1:10">
      <c r="A62" s="50"/>
      <c r="B62" s="49"/>
      <c r="C62" s="66"/>
      <c r="D62" s="66"/>
      <c r="E62" s="66"/>
      <c r="F62" s="66"/>
      <c r="G62" s="66"/>
      <c r="H62" s="66"/>
      <c r="I62" s="49"/>
      <c r="J62" s="330"/>
    </row>
    <row r="63" spans="1:10" ht="15.75" thickBot="1">
      <c r="A63" s="50"/>
      <c r="B63" s="60" t="s">
        <v>24</v>
      </c>
      <c r="C63" s="99">
        <f t="shared" ref="C63:H63" si="3">C8-C61</f>
        <v>-16211.341716666666</v>
      </c>
      <c r="D63" s="99">
        <f t="shared" si="3"/>
        <v>-5475.1837525000001</v>
      </c>
      <c r="E63" s="99">
        <f t="shared" si="3"/>
        <v>-4230.7129401250004</v>
      </c>
      <c r="F63" s="99">
        <f t="shared" si="3"/>
        <v>94.302662868749394</v>
      </c>
      <c r="G63" s="99">
        <f t="shared" si="3"/>
        <v>1983.3477960121872</v>
      </c>
      <c r="H63" s="99">
        <f t="shared" si="3"/>
        <v>3809.2022997505865</v>
      </c>
      <c r="I63" s="49"/>
      <c r="J63" s="331"/>
    </row>
    <row r="64" spans="1:10" ht="15.75" thickTop="1">
      <c r="A64" s="50"/>
      <c r="B64" s="49"/>
      <c r="C64" s="49"/>
      <c r="D64" s="49"/>
      <c r="E64" s="49"/>
      <c r="F64" s="49"/>
      <c r="G64" s="49"/>
      <c r="H64" s="49"/>
      <c r="I64" s="49"/>
      <c r="J64" s="177"/>
    </row>
    <row r="65" spans="1:10">
      <c r="A65" s="50"/>
      <c r="B65" s="67" t="s">
        <v>26</v>
      </c>
      <c r="C65" s="98">
        <f>C61-C8</f>
        <v>16211.341716666666</v>
      </c>
      <c r="D65" s="98">
        <f>SUM(C61:D61)-SUM(C8:D8)</f>
        <v>21686.525469166667</v>
      </c>
      <c r="E65" s="98">
        <f>SUM(C61:E61)-SUM(C8:E8)</f>
        <v>25917.238409291669</v>
      </c>
      <c r="F65" s="98">
        <f>SUM(C61:F61)-SUM(C8:F8)</f>
        <v>25822.935746422918</v>
      </c>
      <c r="G65" s="98">
        <f>SUM(C61:G61)-SUM(C8:G8)</f>
        <v>23839.587950410729</v>
      </c>
      <c r="H65" s="68"/>
      <c r="I65" s="49"/>
      <c r="J65" s="332"/>
    </row>
    <row r="66" spans="1:10">
      <c r="A66" s="50"/>
      <c r="B66" s="69" t="s">
        <v>148</v>
      </c>
      <c r="C66" s="108"/>
      <c r="D66" s="108"/>
      <c r="E66" s="108"/>
      <c r="F66" s="108"/>
      <c r="G66" s="108"/>
      <c r="H66" s="109"/>
      <c r="I66" s="49"/>
      <c r="J66" s="378"/>
    </row>
    <row r="67" spans="1:10" s="84" customFormat="1">
      <c r="B67" s="69" t="s">
        <v>238</v>
      </c>
      <c r="C67" s="108"/>
      <c r="D67" s="108"/>
      <c r="E67" s="108"/>
      <c r="F67" s="108"/>
      <c r="G67" s="108"/>
      <c r="H67" s="109"/>
      <c r="I67" s="49"/>
      <c r="J67" s="110"/>
    </row>
    <row r="68" spans="1:10" s="84" customFormat="1">
      <c r="B68" s="69" t="s">
        <v>325</v>
      </c>
      <c r="C68" s="108"/>
      <c r="D68" s="108"/>
      <c r="E68" s="108"/>
      <c r="F68" s="108"/>
      <c r="G68" s="108"/>
      <c r="H68" s="109"/>
      <c r="I68" s="49"/>
      <c r="J68" s="110"/>
    </row>
    <row r="69" spans="1:10" s="84" customFormat="1">
      <c r="B69" s="69" t="s">
        <v>327</v>
      </c>
      <c r="C69" s="49"/>
      <c r="D69" s="49"/>
      <c r="E69" s="49"/>
      <c r="F69" s="49"/>
      <c r="G69" s="49"/>
      <c r="H69" s="49"/>
      <c r="I69" s="49"/>
      <c r="J69" s="49"/>
    </row>
    <row r="70" spans="1:10" s="84" customFormat="1">
      <c r="B70" s="69" t="s">
        <v>333</v>
      </c>
      <c r="C70" s="49"/>
      <c r="D70" s="49"/>
      <c r="E70" s="49"/>
      <c r="F70" s="49"/>
      <c r="G70" s="49"/>
      <c r="H70" s="49"/>
      <c r="I70" s="49"/>
      <c r="J70" s="49"/>
    </row>
    <row r="71" spans="1:10" s="84" customFormat="1">
      <c r="B71" s="69" t="s">
        <v>334</v>
      </c>
      <c r="C71" s="49"/>
      <c r="D71" s="49"/>
      <c r="E71" s="49"/>
      <c r="F71" s="49"/>
      <c r="G71" s="49"/>
      <c r="H71" s="49"/>
      <c r="I71" s="49"/>
      <c r="J71" s="49"/>
    </row>
    <row r="72" spans="1:10" s="84" customFormat="1">
      <c r="B72" s="69" t="s">
        <v>335</v>
      </c>
      <c r="C72" s="49"/>
      <c r="D72" s="49"/>
      <c r="E72" s="49"/>
      <c r="F72" s="49"/>
      <c r="G72" s="49"/>
      <c r="H72" s="49"/>
      <c r="I72" s="49"/>
      <c r="J72" s="49"/>
    </row>
    <row r="73" spans="1:10" s="84" customFormat="1" ht="12.6" customHeight="1">
      <c r="B73" s="434" t="s">
        <v>354</v>
      </c>
      <c r="C73" s="434"/>
      <c r="D73" s="434"/>
      <c r="E73" s="434"/>
      <c r="F73" s="434"/>
      <c r="G73" s="434"/>
      <c r="H73" s="434"/>
      <c r="I73" s="434"/>
      <c r="J73" s="434"/>
    </row>
    <row r="74" spans="1:10" s="84" customFormat="1" ht="26.25" customHeight="1">
      <c r="B74" s="435" t="s">
        <v>368</v>
      </c>
      <c r="C74" s="435"/>
      <c r="D74" s="435"/>
      <c r="E74" s="435"/>
      <c r="F74" s="435"/>
      <c r="G74" s="435"/>
      <c r="H74" s="435"/>
      <c r="I74" s="435"/>
      <c r="J74" s="435"/>
    </row>
    <row r="75" spans="1:10" s="84" customFormat="1">
      <c r="A75" s="191"/>
      <c r="B75" s="69" t="s">
        <v>369</v>
      </c>
    </row>
    <row r="76" spans="1:10" s="84" customFormat="1">
      <c r="A76" s="191"/>
      <c r="B76" s="69" t="s">
        <v>372</v>
      </c>
    </row>
    <row r="77" spans="1:10" s="84" customFormat="1" ht="27" customHeight="1">
      <c r="A77" s="191"/>
      <c r="B77" s="431" t="s">
        <v>407</v>
      </c>
      <c r="C77" s="431"/>
      <c r="D77" s="431"/>
      <c r="E77" s="431"/>
      <c r="F77" s="431"/>
      <c r="G77" s="431"/>
      <c r="H77" s="431"/>
      <c r="I77" s="431"/>
      <c r="J77" s="431"/>
    </row>
  </sheetData>
  <protectedRanges>
    <protectedRange sqref="C5:H6" name="Est Production and Price"/>
    <protectedRange sqref="J5:J66" name="Your Costs"/>
    <protectedRange sqref="J67" name="Your Costs_1"/>
  </protectedRanges>
  <mergeCells count="6">
    <mergeCell ref="B77:J77"/>
    <mergeCell ref="B2:J2"/>
    <mergeCell ref="C3:G3"/>
    <mergeCell ref="B73:J73"/>
    <mergeCell ref="B74:J74"/>
    <mergeCell ref="H3:H4"/>
  </mergeCells>
  <phoneticPr fontId="21" type="noConversion"/>
  <printOptions gridLines="1"/>
  <pageMargins left="0.25" right="0.25" top="0.25" bottom="0.25" header="0.3" footer="0.3"/>
  <pageSetup scale="64" orientation="portrait" r:id="rId1"/>
  <ignoredErrors>
    <ignoredError sqref="D65 C40:G40 H40" formula="1"/>
    <ignoredError sqref="E6:H6 E5:G5 H5" unlockedFormula="1"/>
  </ignoredErrors>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dimension ref="A2:H18"/>
  <sheetViews>
    <sheetView workbookViewId="0">
      <selection activeCell="E7" sqref="E7"/>
    </sheetView>
  </sheetViews>
  <sheetFormatPr defaultColWidth="9.140625" defaultRowHeight="15"/>
  <cols>
    <col min="1" max="1" width="6.7109375" style="49" customWidth="1"/>
    <col min="2" max="2" width="15.5703125" style="49" customWidth="1"/>
    <col min="3" max="8" width="12.7109375" style="49" customWidth="1"/>
    <col min="9" max="16384" width="9.140625" style="49"/>
  </cols>
  <sheetData>
    <row r="2" spans="1:8" ht="42.75" customHeight="1">
      <c r="B2" s="441" t="s">
        <v>306</v>
      </c>
      <c r="C2" s="441"/>
      <c r="D2" s="441"/>
      <c r="E2" s="441"/>
      <c r="F2" s="441"/>
      <c r="G2" s="441"/>
      <c r="H2" s="441"/>
    </row>
    <row r="3" spans="1:8" ht="17.25">
      <c r="A3" s="198"/>
      <c r="B3" s="439" t="s">
        <v>395</v>
      </c>
      <c r="C3" s="438" t="s">
        <v>355</v>
      </c>
      <c r="D3" s="438"/>
      <c r="E3" s="438"/>
      <c r="F3" s="438"/>
      <c r="G3" s="438"/>
      <c r="H3" s="342"/>
    </row>
    <row r="4" spans="1:8">
      <c r="A4" s="198"/>
      <c r="B4" s="440"/>
      <c r="C4" s="344">
        <v>195</v>
      </c>
      <c r="D4" s="344">
        <f>C4+30</f>
        <v>225</v>
      </c>
      <c r="E4" s="344">
        <f t="shared" ref="E4:G4" si="0">D4+30</f>
        <v>255</v>
      </c>
      <c r="F4" s="344">
        <f t="shared" si="0"/>
        <v>285</v>
      </c>
      <c r="G4" s="344">
        <f t="shared" si="0"/>
        <v>315</v>
      </c>
      <c r="H4" s="344">
        <f>G4+30</f>
        <v>345</v>
      </c>
    </row>
    <row r="5" spans="1:8">
      <c r="A5" s="198"/>
      <c r="B5" s="199">
        <v>40</v>
      </c>
      <c r="C5" s="345">
        <f>$B5*C$4-((SUM('Cider Apple Budget'!$H$15:$H$23,$B5*'App5. Data for tables'!$H$53,'Cider Apple Budget'!$H$26:$H$29))*((1+$C$12)*(1+0.75*$C$13)))-'Cider Apple Budget'!$H$59</f>
        <v>-3487.1727002494154</v>
      </c>
      <c r="D5" s="345">
        <f>$B5*D$4-((SUM('Cider Apple Budget'!$H$15:$H$23,$B5*'App5. Data for tables'!$H$53,'Cider Apple Budget'!$H$26:$H$29))*((1+$C$12)*(1+0.75*$C$13)))-'Cider Apple Budget'!$H$59</f>
        <v>-2287.1727002494154</v>
      </c>
      <c r="E5" s="345">
        <f>$B5*E$4-((SUM('Cider Apple Budget'!$H$15:$H$23,$B5*'App5. Data for tables'!$H$53,'Cider Apple Budget'!$H$26:$H$29))*((1+$C$12)*(1+0.75*$C$13)))-'Cider Apple Budget'!$H$59</f>
        <v>-1087.1727002494154</v>
      </c>
      <c r="F5" s="367">
        <f>$B5*F$4-((SUM('Cider Apple Budget'!$H$15:$H$23,$B5*'App5. Data for tables'!$H$53,'Cider Apple Budget'!$H$26:$H$29))*((1+$C$12)*(1+0.75*$C$13)))-'Cider Apple Budget'!$H$59</f>
        <v>112.82729975058464</v>
      </c>
      <c r="G5" s="367">
        <f>$B5*G$4-((SUM('Cider Apple Budget'!$H$15:$H$23,$B5*'App5. Data for tables'!$H$53,'Cider Apple Budget'!$H$26:$H$29))*((1+$C$12)*(1+0.75*$C$13)))-'Cider Apple Budget'!$H$59</f>
        <v>1312.8272997505846</v>
      </c>
      <c r="H5" s="367">
        <f>$B5*H$4-((SUM('Cider Apple Budget'!$H$15:$H$23,$B5*'App5. Data for tables'!$H$53,'Cider Apple Budget'!$H$26:$H$29))*((1+$C$12)*(1+0.75*$C$13)))-'Cider Apple Budget'!$H$59</f>
        <v>2512.8272997505846</v>
      </c>
    </row>
    <row r="6" spans="1:8">
      <c r="A6" s="198"/>
      <c r="B6" s="199">
        <v>45</v>
      </c>
      <c r="C6" s="345">
        <f>$B6*C$4-((SUM('Cider Apple Budget'!$H$15:$H$23,$B6*'App5. Data for tables'!$H$53,'Cider Apple Budget'!$H$26:$H$29))*((1+$C$12)*(1+0.75*$C$13)))-'Cider Apple Budget'!$H$59</f>
        <v>-2838.9852002494154</v>
      </c>
      <c r="D6" s="345">
        <f>$B6*D$4-((SUM('Cider Apple Budget'!$H$15:$H$23,$B6*'App5. Data for tables'!$H$53,'Cider Apple Budget'!$H$26:$H$29))*((1+$C$12)*(1+0.75*$C$13)))-'Cider Apple Budget'!$H$59</f>
        <v>-1488.9852002494154</v>
      </c>
      <c r="E6" s="345">
        <f>$B6*E$4-((SUM('Cider Apple Budget'!$H$15:$H$23,$B6*'App5. Data for tables'!$H$53,'Cider Apple Budget'!$H$26:$H$29))*((1+$C$12)*(1+0.75*$C$13)))-'Cider Apple Budget'!$H$59</f>
        <v>-138.98520024941536</v>
      </c>
      <c r="F6" s="367">
        <f>$B6*F$4-((SUM('Cider Apple Budget'!$H$15:$H$23,$B6*'App5. Data for tables'!$H$53,'Cider Apple Budget'!$H$26:$H$29))*((1+$C$12)*(1+0.75*$C$13)))-'Cider Apple Budget'!$H$59</f>
        <v>1211.0147997505846</v>
      </c>
      <c r="G6" s="367">
        <f>$B6*G$4-((SUM('Cider Apple Budget'!$H$15:$H$23,$B6*'App5. Data for tables'!$H$53,'Cider Apple Budget'!$H$26:$H$29))*((1+$C$12)*(1+0.75*$C$13)))-'Cider Apple Budget'!$H$59</f>
        <v>2561.0147997505846</v>
      </c>
      <c r="H6" s="367">
        <f>$B6*H$4-((SUM('Cider Apple Budget'!$H$15:$H$23,$B6*'App5. Data for tables'!$H$53,'Cider Apple Budget'!$H$26:$H$29))*((1+$C$12)*(1+0.75*$C$13)))-'Cider Apple Budget'!$H$59</f>
        <v>3911.0147997505846</v>
      </c>
    </row>
    <row r="7" spans="1:8" ht="15.95" customHeight="1">
      <c r="B7" s="199">
        <v>50</v>
      </c>
      <c r="C7" s="345">
        <f>$B7*C$4-((SUM('Cider Apple Budget'!$H$15:$H$23,$B7*'App5. Data for tables'!$H$53,'Cider Apple Budget'!$H$26:$H$29))*((1+$C$12)*(1+0.75*$C$13)))-'Cider Apple Budget'!$H$59</f>
        <v>-2190.7977002494154</v>
      </c>
      <c r="D7" s="345">
        <f>$B7*D$4-((SUM('Cider Apple Budget'!$H$15:$H$23,$B7*'App5. Data for tables'!$H$53,'Cider Apple Budget'!$H$26:$H$29))*((1+$C$12)*(1+0.75*$C$13)))-'Cider Apple Budget'!$H$59</f>
        <v>-690.79770024941536</v>
      </c>
      <c r="E7" s="367">
        <f>$B7*E$4-((SUM('Cider Apple Budget'!$H$15:$H$23,$B7*'App5. Data for tables'!$H$53,'Cider Apple Budget'!$H$26:$H$29))*((1+$C$12)*(1+0.75*$C$13)))-'Cider Apple Budget'!$H$59</f>
        <v>809.20229975058464</v>
      </c>
      <c r="F7" s="367">
        <f>$B7*F$4-((SUM('Cider Apple Budget'!$H$15:$H$23,$B7*'App5. Data for tables'!$H$53,'Cider Apple Budget'!$H$26:$H$29))*((1+$C$12)*(1+0.75*$C$13)))-'Cider Apple Budget'!$H$59</f>
        <v>2309.2022997505846</v>
      </c>
      <c r="G7" s="367">
        <f>$B7*G$4-((SUM('Cider Apple Budget'!$H$15:$H$23,$B7*'App5. Data for tables'!$H$53,'Cider Apple Budget'!$H$26:$H$29))*((1+$C$12)*(1+0.75*$C$13)))-'Cider Apple Budget'!$H$59</f>
        <v>3809.2022997505846</v>
      </c>
      <c r="H7" s="367">
        <f>$B7*H$4-((SUM('Cider Apple Budget'!$H$15:$H$23,$B7*'App5. Data for tables'!$H$53,'Cider Apple Budget'!$H$26:$H$29))*((1+$C$12)*(1+0.75*$C$13)))-'Cider Apple Budget'!$H$59</f>
        <v>5309.2022997505846</v>
      </c>
    </row>
    <row r="8" spans="1:8" ht="15.95" customHeight="1">
      <c r="B8" s="199">
        <v>55</v>
      </c>
      <c r="C8" s="345">
        <f>$B8*C$4-((SUM('Cider Apple Budget'!$H$15:$H$23,$B8*'App5. Data for tables'!$H$53,'Cider Apple Budget'!$H$26:$H$29))*((1+$C$12)*(1+0.75*$C$13)))-'Cider Apple Budget'!$H$59</f>
        <v>-1542.6102002494154</v>
      </c>
      <c r="D8" s="367">
        <f>$B8*D$4-((SUM('Cider Apple Budget'!$H$15:$H$23,$B8*'App5. Data for tables'!$H$53,'Cider Apple Budget'!$H$26:$H$29))*((1+$C$12)*(1+0.75*$C$13)))-'Cider Apple Budget'!$H$59</f>
        <v>107.38979975058464</v>
      </c>
      <c r="E8" s="367">
        <f>$B8*E$4-((SUM('Cider Apple Budget'!$H$15:$H$23,$B8*'App5. Data for tables'!$H$53,'Cider Apple Budget'!$H$26:$H$29))*((1+$C$12)*(1+0.75*$C$13)))-'Cider Apple Budget'!$H$59</f>
        <v>1757.3897997505846</v>
      </c>
      <c r="F8" s="367">
        <f>$B8*F$4-((SUM('Cider Apple Budget'!$H$15:$H$23,$B8*'App5. Data for tables'!$H$53,'Cider Apple Budget'!$H$26:$H$29))*((1+$C$12)*(1+0.75*$C$13)))-'Cider Apple Budget'!$H$59</f>
        <v>3407.3897997505846</v>
      </c>
      <c r="G8" s="367">
        <f>$B8*G$4-((SUM('Cider Apple Budget'!$H$15:$H$23,$B8*'App5. Data for tables'!$H$53,'Cider Apple Budget'!$H$26:$H$29))*((1+$C$12)*(1+0.75*$C$13)))-'Cider Apple Budget'!$H$59</f>
        <v>5057.3897997505846</v>
      </c>
      <c r="H8" s="367">
        <f>$B8*H$4-((SUM('Cider Apple Budget'!$H$15:$H$23,$B8*'App5. Data for tables'!$H$53,'Cider Apple Budget'!$H$26:$H$29))*((1+$C$12)*(1+0.75*$C$13)))-'Cider Apple Budget'!$H$59</f>
        <v>6707.3897997505846</v>
      </c>
    </row>
    <row r="9" spans="1:8" ht="15.95" customHeight="1">
      <c r="B9" s="199">
        <v>60</v>
      </c>
      <c r="C9" s="345">
        <f>$B9*C$4-((SUM('Cider Apple Budget'!$H$15:$H$23,$B9*'App5. Data for tables'!$H$53,'Cider Apple Budget'!$H$26:$H$29))*((1+$C$12)*(1+0.75*$C$13)))-'Cider Apple Budget'!$H$59</f>
        <v>-894.42270024941536</v>
      </c>
      <c r="D9" s="367">
        <f>$B9*D$4-((SUM('Cider Apple Budget'!$H$15:$H$23,$B9*'App5. Data for tables'!$H$53,'Cider Apple Budget'!$H$26:$H$29))*((1+$C$12)*(1+0.75*$C$13)))-'Cider Apple Budget'!$H$59</f>
        <v>905.57729975058464</v>
      </c>
      <c r="E9" s="367">
        <f>$B9*E$4-((SUM('Cider Apple Budget'!$H$15:$H$23,$B9*'App5. Data for tables'!$H$53,'Cider Apple Budget'!$H$26:$H$29))*((1+$C$12)*(1+0.75*$C$13)))-'Cider Apple Budget'!$H$59</f>
        <v>2705.5772997505846</v>
      </c>
      <c r="F9" s="367">
        <f>$B9*F$4-((SUM('Cider Apple Budget'!$H$15:$H$23,$B9*'App5. Data for tables'!$H$53,'Cider Apple Budget'!$H$26:$H$29))*((1+$C$12)*(1+0.75*$C$13)))-'Cider Apple Budget'!$H$59</f>
        <v>4505.5772997505846</v>
      </c>
      <c r="G9" s="367">
        <f>$B9*G$4-((SUM('Cider Apple Budget'!$H$15:$H$23,$B9*'App5. Data for tables'!$H$53,'Cider Apple Budget'!$H$26:$H$29))*((1+$C$12)*(1+0.75*$C$13)))-'Cider Apple Budget'!$H$59</f>
        <v>6305.5772997505846</v>
      </c>
      <c r="H9" s="367">
        <f>$B9*H$4-((SUM('Cider Apple Budget'!$H$15:$H$23,$B9*'App5. Data for tables'!$H$53,'Cider Apple Budget'!$H$26:$H$29))*((1+$C$12)*(1+0.75*$C$13)))-'Cider Apple Budget'!$H$59</f>
        <v>8105.5772997505846</v>
      </c>
    </row>
    <row r="10" spans="1:8" ht="15.95" customHeight="1">
      <c r="B10" s="199">
        <v>65</v>
      </c>
      <c r="C10" s="345">
        <f>$B10*C$4-((SUM('Cider Apple Budget'!$H$15:$H$23,$B10*'App5. Data for tables'!$H$53,'Cider Apple Budget'!$H$26:$H$29))*((1+$C$12)*(1+0.75*$C$13)))-'Cider Apple Budget'!$H$59</f>
        <v>-246.23520024941536</v>
      </c>
      <c r="D10" s="367">
        <f>$B10*D$4-((SUM('Cider Apple Budget'!$H$15:$H$23,$B10*'App5. Data for tables'!$H$53,'Cider Apple Budget'!$H$26:$H$29))*((1+$C$12)*(1+0.75*$C$13)))-'Cider Apple Budget'!$H$59</f>
        <v>1703.7647997505846</v>
      </c>
      <c r="E10" s="367">
        <f>$B10*E$4-((SUM('Cider Apple Budget'!$H$15:$H$23,$B10*'App5. Data for tables'!$H$53,'Cider Apple Budget'!$H$26:$H$29))*((1+$C$12)*(1+0.75*$C$13)))-'Cider Apple Budget'!$H$59</f>
        <v>3653.7647997505846</v>
      </c>
      <c r="F10" s="367">
        <f>$B10*F$4-((SUM('Cider Apple Budget'!$H$15:$H$23,$B10*'App5. Data for tables'!$H$53,'Cider Apple Budget'!$H$26:$H$29))*((1+$C$12)*(1+0.75*$C$13)))-'Cider Apple Budget'!$H$59</f>
        <v>5603.7647997505846</v>
      </c>
      <c r="G10" s="367">
        <f>$B10*G$4-((SUM('Cider Apple Budget'!$H$15:$H$23,$B10*'App5. Data for tables'!$H$53,'Cider Apple Budget'!$H$26:$H$29))*((1+$C$12)*(1+0.75*$C$13)))-'Cider Apple Budget'!$H$59</f>
        <v>7553.7647997505846</v>
      </c>
      <c r="H10" s="367">
        <f>$B10*H$4-((SUM('Cider Apple Budget'!$H$15:$H$23,$B10*'App5. Data for tables'!$H$53,'Cider Apple Budget'!$H$26:$H$29))*((1+$C$12)*(1+0.75*$C$13)))-'Cider Apple Budget'!$H$59</f>
        <v>9503.7647997505846</v>
      </c>
    </row>
    <row r="11" spans="1:8" ht="15.95" customHeight="1">
      <c r="B11" s="364">
        <v>70</v>
      </c>
      <c r="C11" s="416">
        <f>$B11*C$4-((SUM('Cider Apple Budget'!$H$15:$H$23,$B11*'App5. Data for tables'!$H$53,'Cider Apple Budget'!$H$26:$H$29))*((1+$C$12)*(1+0.75*$C$13)))-'Cider Apple Budget'!$H$59</f>
        <v>401.95229975058464</v>
      </c>
      <c r="D11" s="416">
        <f>$B11*D$4-((SUM('Cider Apple Budget'!$H$15:$H$23,$B11*'App5. Data for tables'!$H$53,'Cider Apple Budget'!$H$26:$H$29))*((1+$C$12)*(1+0.75*$C$13)))-'Cider Apple Budget'!$H$59</f>
        <v>2501.9522997505846</v>
      </c>
      <c r="E11" s="416">
        <f>$B11*E$4-((SUM('Cider Apple Budget'!$H$15:$H$23,$B11*'App5. Data for tables'!$H$53,'Cider Apple Budget'!$H$26:$H$29))*((1+$C$12)*(1+0.75*$C$13)))-'Cider Apple Budget'!$H$59</f>
        <v>4601.9522997505846</v>
      </c>
      <c r="F11" s="416">
        <f>$B11*F$4-((SUM('Cider Apple Budget'!$H$15:$H$23,$B11*'App5. Data for tables'!$H$53,'Cider Apple Budget'!$H$26:$H$29))*((1+$C$12)*(1+0.75*$C$13)))-'Cider Apple Budget'!$H$59</f>
        <v>6701.9522997505846</v>
      </c>
      <c r="G11" s="416">
        <f>$B11*G$4-((SUM('Cider Apple Budget'!$H$15:$H$23,$B11*'App5. Data for tables'!$H$53,'Cider Apple Budget'!$H$26:$H$29))*((1+$C$12)*(1+0.75*$C$13)))-'Cider Apple Budget'!$H$59</f>
        <v>8801.9522997505846</v>
      </c>
      <c r="H11" s="416">
        <f>$B11*H$4-((SUM('Cider Apple Budget'!$H$15:$H$23,$B11*'App5. Data for tables'!$H$53,'Cider Apple Budget'!$H$26:$H$29))*((1+$C$12)*(1+0.75*$C$13)))-'Cider Apple Budget'!$H$59</f>
        <v>10901.952299750585</v>
      </c>
    </row>
    <row r="12" spans="1:8" ht="15.95" customHeight="1">
      <c r="B12" s="200" t="s">
        <v>82</v>
      </c>
      <c r="C12" s="201">
        <f>'App5. Data for tables'!$H$60</f>
        <v>0.05</v>
      </c>
      <c r="D12" s="64"/>
      <c r="E12" s="64"/>
      <c r="F12" s="64"/>
      <c r="G12" s="64"/>
    </row>
    <row r="13" spans="1:8" ht="15.95" customHeight="1">
      <c r="B13" s="202" t="s">
        <v>83</v>
      </c>
      <c r="C13" s="203">
        <f>'App5. Data for tables'!$H$61</f>
        <v>0.05</v>
      </c>
      <c r="D13" s="204"/>
      <c r="E13" s="204"/>
      <c r="F13" s="204"/>
      <c r="G13" s="204"/>
      <c r="H13" s="343"/>
    </row>
    <row r="14" spans="1:8" ht="15.95" customHeight="1">
      <c r="B14" s="205" t="s">
        <v>148</v>
      </c>
      <c r="C14" s="201"/>
      <c r="D14" s="64"/>
      <c r="E14" s="64"/>
      <c r="F14" s="64"/>
      <c r="G14" s="64"/>
    </row>
    <row r="15" spans="1:8" ht="15.95" customHeight="1">
      <c r="B15" s="205" t="s">
        <v>149</v>
      </c>
      <c r="C15" s="201"/>
      <c r="D15" s="64"/>
      <c r="E15" s="64"/>
      <c r="F15" s="64"/>
      <c r="G15" s="64"/>
    </row>
    <row r="16" spans="1:8" ht="27" customHeight="1">
      <c r="B16" s="434" t="s">
        <v>338</v>
      </c>
      <c r="C16" s="434"/>
      <c r="D16" s="434"/>
      <c r="E16" s="434"/>
      <c r="F16" s="434"/>
      <c r="G16" s="434"/>
      <c r="H16" s="434"/>
    </row>
    <row r="17" spans="2:7">
      <c r="B17" s="69" t="s">
        <v>305</v>
      </c>
      <c r="F17" s="341"/>
    </row>
    <row r="18" spans="2:7">
      <c r="B18" s="69" t="s">
        <v>394</v>
      </c>
      <c r="G18" s="206"/>
    </row>
  </sheetData>
  <protectedRanges>
    <protectedRange sqref="C12:C15 B5:B11 C4:H4" name="Price and Yield"/>
  </protectedRanges>
  <mergeCells count="4">
    <mergeCell ref="C3:G3"/>
    <mergeCell ref="B3:B4"/>
    <mergeCell ref="B16:H16"/>
    <mergeCell ref="B2:H2"/>
  </mergeCells>
  <phoneticPr fontId="21" type="noConversion"/>
  <pageMargins left="0.7" right="0.7" top="0.75" bottom="0.75" header="0.3" footer="0.3"/>
  <pageSetup orientation="portrait" r:id="rId1"/>
  <ignoredErrors>
    <ignoredError sqref="E7" formula="1"/>
  </ignoredError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dimension ref="A2:N34"/>
  <sheetViews>
    <sheetView workbookViewId="0">
      <selection activeCell="B23" sqref="B23"/>
    </sheetView>
  </sheetViews>
  <sheetFormatPr defaultColWidth="9.140625" defaultRowHeight="15"/>
  <cols>
    <col min="1" max="1" width="6.7109375" style="3" customWidth="1"/>
    <col min="2" max="2" width="29.7109375" style="3" customWidth="1"/>
    <col min="3" max="8" width="13.7109375" style="3" customWidth="1"/>
    <col min="9" max="14" width="9.140625" style="15"/>
    <col min="15" max="16384" width="9.140625" style="3"/>
  </cols>
  <sheetData>
    <row r="2" spans="1:9" ht="18.75" customHeight="1">
      <c r="B2" s="442" t="s">
        <v>307</v>
      </c>
      <c r="C2" s="442"/>
      <c r="D2" s="442"/>
      <c r="E2" s="442"/>
      <c r="F2" s="442"/>
      <c r="G2" s="442"/>
      <c r="H2" s="442"/>
    </row>
    <row r="3" spans="1:9" ht="18" customHeight="1">
      <c r="A3" s="13"/>
      <c r="B3" s="14"/>
      <c r="C3" s="443" t="s">
        <v>0</v>
      </c>
      <c r="D3" s="443"/>
      <c r="E3" s="443"/>
      <c r="F3" s="443"/>
      <c r="G3" s="443"/>
      <c r="H3" s="439" t="s">
        <v>202</v>
      </c>
    </row>
    <row r="4" spans="1:9">
      <c r="A4" s="13"/>
      <c r="B4" s="5"/>
      <c r="C4" s="181" t="s">
        <v>1</v>
      </c>
      <c r="D4" s="181" t="s">
        <v>2</v>
      </c>
      <c r="E4" s="181" t="s">
        <v>3</v>
      </c>
      <c r="F4" s="181" t="s">
        <v>4</v>
      </c>
      <c r="G4" s="181" t="s">
        <v>28</v>
      </c>
      <c r="H4" s="444"/>
      <c r="I4" s="112"/>
    </row>
    <row r="5" spans="1:9">
      <c r="A5" s="13"/>
      <c r="B5" s="8" t="s">
        <v>133</v>
      </c>
      <c r="C5" s="2"/>
      <c r="D5" s="2"/>
      <c r="E5" s="2"/>
      <c r="F5" s="2"/>
      <c r="G5" s="2"/>
      <c r="H5" s="2"/>
    </row>
    <row r="6" spans="1:9">
      <c r="B6" s="10" t="s">
        <v>308</v>
      </c>
      <c r="C6" s="16">
        <f>'App1. Estab Costs'!H6</f>
        <v>132000</v>
      </c>
      <c r="D6" s="16"/>
      <c r="E6" s="16"/>
      <c r="F6" s="16"/>
      <c r="G6" s="16"/>
    </row>
    <row r="7" spans="1:9">
      <c r="B7" s="10" t="s">
        <v>5</v>
      </c>
      <c r="C7" s="16">
        <f>'App1. Estab Costs'!H15</f>
        <v>25000</v>
      </c>
      <c r="D7" s="16"/>
      <c r="E7" s="16"/>
      <c r="F7" s="16"/>
      <c r="G7" s="16"/>
    </row>
    <row r="8" spans="1:9">
      <c r="B8" s="10" t="s">
        <v>6</v>
      </c>
      <c r="C8" s="16">
        <f>'App1. Estab Costs'!H18</f>
        <v>30000</v>
      </c>
      <c r="D8" s="16"/>
      <c r="E8" s="16"/>
      <c r="F8" s="16"/>
      <c r="G8" s="16"/>
    </row>
    <row r="9" spans="1:9">
      <c r="B9" s="10" t="s">
        <v>7</v>
      </c>
      <c r="C9" s="16">
        <f>'App1. Estab Costs'!H21</f>
        <v>6500</v>
      </c>
      <c r="D9" s="16"/>
      <c r="E9" s="16"/>
      <c r="F9" s="16"/>
      <c r="G9" s="16"/>
    </row>
    <row r="10" spans="1:9">
      <c r="B10" s="10" t="s">
        <v>9</v>
      </c>
      <c r="C10" s="16">
        <f>'App1. Estab Costs'!H22</f>
        <v>3000</v>
      </c>
      <c r="D10" s="16"/>
      <c r="F10" s="16"/>
      <c r="G10" s="16"/>
    </row>
    <row r="11" spans="1:9">
      <c r="B11" s="10" t="s">
        <v>146</v>
      </c>
      <c r="C11" s="16"/>
      <c r="D11" s="16"/>
      <c r="E11" s="339">
        <f>'App1. Estab Costs'!H76</f>
        <v>41289.599999999999</v>
      </c>
      <c r="F11" s="16"/>
      <c r="G11" s="16"/>
    </row>
    <row r="12" spans="1:9" ht="18">
      <c r="B12" s="10" t="s">
        <v>340</v>
      </c>
      <c r="C12" s="16">
        <f>('Cider Apple Budget'!C33+'Cider Apple Budget'!C53+'Cider Apple Budget'!C54+'Cider Apple Budget'!C55+'Cider Apple Budget'!C56)*'App1. Estab Costs'!$L$5</f>
        <v>148356.75049999999</v>
      </c>
      <c r="D12" s="16">
        <f>('Cider Apple Budget'!D33+'Cider Apple Budget'!D53+'Cider Apple Budget'!D54+'Cider Apple Budget'!D55+'Cider Apple Budget'!D56)*'App1. Estab Costs'!$L$5</f>
        <v>32889.5</v>
      </c>
      <c r="E12" s="16">
        <f>('Cider Apple Budget'!E33+'Cider Apple Budget'!E53+'Cider Apple Budget'!E54+'Cider Apple Budget'!E55+'Cider Apple Budget'!E56)*'App1. Estab Costs'!$L$5</f>
        <v>46798.64</v>
      </c>
      <c r="F12" s="16">
        <f>('Cider Apple Budget'!F33+'Cider Apple Budget'!F53+'Cider Apple Budget'!F54+'Cider Apple Budget'!F55+'Cider Apple Budget'!F56)*'App1. Estab Costs'!$L$5</f>
        <v>64433.12750000001</v>
      </c>
      <c r="G12" s="16">
        <f>('Cider Apple Budget'!G33+'Cider Apple Budget'!G53+'Cider Apple Budget'!G54+'Cider Apple Budget'!G55+'Cider Apple Budget'!G56)*'App1. Estab Costs'!$L$5</f>
        <v>77089.827499999999</v>
      </c>
      <c r="H12" s="16">
        <f>('Cider Apple Budget'!H33+'Cider Apple Budget'!H53+'Cider Apple Budget'!H54+'Cider Apple Budget'!H55+'Cider Apple Budget'!H56)*'App2. Full Prod Costs'!$L$4</f>
        <v>86327.976875000008</v>
      </c>
    </row>
    <row r="13" spans="1:9">
      <c r="B13" s="17" t="s">
        <v>134</v>
      </c>
      <c r="C13" s="18">
        <f t="shared" ref="C13:H13" si="0">SUM(C6:C12)</f>
        <v>344856.75049999997</v>
      </c>
      <c r="D13" s="18">
        <f t="shared" si="0"/>
        <v>32889.5</v>
      </c>
      <c r="E13" s="18">
        <f t="shared" si="0"/>
        <v>88088.239999999991</v>
      </c>
      <c r="F13" s="18">
        <f t="shared" si="0"/>
        <v>64433.12750000001</v>
      </c>
      <c r="G13" s="18">
        <f t="shared" si="0"/>
        <v>77089.827499999999</v>
      </c>
      <c r="H13" s="18">
        <f t="shared" si="0"/>
        <v>86327.976875000008</v>
      </c>
    </row>
    <row r="14" spans="1:9">
      <c r="D14" s="18"/>
      <c r="E14" s="18"/>
      <c r="F14" s="18"/>
      <c r="G14" s="18"/>
      <c r="H14" s="18"/>
    </row>
    <row r="15" spans="1:9">
      <c r="B15" s="17" t="s">
        <v>135</v>
      </c>
      <c r="C15" s="18">
        <f>'Cider Apple Budget'!C8*'App1. Estab Costs'!$L$5</f>
        <v>0</v>
      </c>
      <c r="D15" s="18">
        <f>'Cider Apple Budget'!D8*'App1. Estab Costs'!$L$5</f>
        <v>0</v>
      </c>
      <c r="E15" s="18">
        <f>'Cider Apple Budget'!E8*'App1. Estab Costs'!$L$5</f>
        <v>31500</v>
      </c>
      <c r="F15" s="18">
        <f>'Cider Apple Budget'!F8*'App1. Estab Costs'!$L$5</f>
        <v>94500</v>
      </c>
      <c r="G15" s="18">
        <f>'Cider Apple Budget'!G8*'App1. Estab Costs'!$L$5</f>
        <v>126000</v>
      </c>
      <c r="H15" s="18">
        <f>'Cider Apple Budget'!H8*'App1. Estab Costs'!$L$5</f>
        <v>157500</v>
      </c>
    </row>
    <row r="16" spans="1:9">
      <c r="D16" s="18"/>
      <c r="E16" s="18"/>
      <c r="F16" s="18"/>
      <c r="G16" s="18"/>
      <c r="H16" s="18"/>
    </row>
    <row r="17" spans="2:14">
      <c r="B17" s="11" t="s">
        <v>136</v>
      </c>
      <c r="C17" s="19">
        <f t="shared" ref="C17:H17" si="1">C13-C15</f>
        <v>344856.75049999997</v>
      </c>
      <c r="D17" s="19">
        <f t="shared" si="1"/>
        <v>32889.5</v>
      </c>
      <c r="E17" s="19">
        <f t="shared" si="1"/>
        <v>56588.239999999991</v>
      </c>
      <c r="F17" s="19">
        <f t="shared" si="1"/>
        <v>-30066.87249999999</v>
      </c>
      <c r="G17" s="19">
        <f t="shared" si="1"/>
        <v>-48910.172500000001</v>
      </c>
      <c r="H17" s="19">
        <f t="shared" si="1"/>
        <v>-71172.023124999992</v>
      </c>
    </row>
    <row r="18" spans="2:14">
      <c r="B18" s="12" t="s">
        <v>148</v>
      </c>
    </row>
    <row r="19" spans="2:14" ht="16.5">
      <c r="B19" s="69" t="s">
        <v>203</v>
      </c>
      <c r="F19" s="21"/>
      <c r="G19" s="21"/>
    </row>
    <row r="20" spans="2:14">
      <c r="B20" s="69" t="s">
        <v>339</v>
      </c>
      <c r="F20" s="21"/>
      <c r="G20" s="21"/>
    </row>
    <row r="21" spans="2:14" ht="15" customHeight="1">
      <c r="B21" s="192" t="s">
        <v>309</v>
      </c>
    </row>
    <row r="22" spans="2:14" ht="15" customHeight="1">
      <c r="B22" s="192" t="s">
        <v>396</v>
      </c>
      <c r="F22" s="20"/>
      <c r="G22" s="20"/>
      <c r="H22" s="20"/>
    </row>
    <row r="23" spans="2:14">
      <c r="F23" s="1"/>
      <c r="G23" s="1"/>
    </row>
    <row r="24" spans="2:14">
      <c r="F24" s="7"/>
      <c r="G24" s="7"/>
      <c r="H24" s="6"/>
    </row>
    <row r="25" spans="2:14">
      <c r="F25" s="7"/>
      <c r="G25" s="7"/>
      <c r="H25" s="6"/>
    </row>
    <row r="26" spans="2:14" s="346" customFormat="1">
      <c r="B26" s="348"/>
      <c r="C26" s="349"/>
      <c r="D26" s="349"/>
      <c r="E26" s="349"/>
      <c r="F26" s="350"/>
      <c r="G26" s="350"/>
      <c r="H26" s="351"/>
      <c r="I26" s="347"/>
      <c r="J26" s="347"/>
      <c r="K26" s="347"/>
      <c r="L26" s="347"/>
      <c r="M26" s="347"/>
      <c r="N26" s="347"/>
    </row>
    <row r="27" spans="2:14">
      <c r="F27" s="7"/>
      <c r="G27" s="7"/>
      <c r="H27" s="6"/>
    </row>
    <row r="28" spans="2:14">
      <c r="F28" s="7"/>
      <c r="G28" s="7"/>
      <c r="H28" s="6"/>
    </row>
    <row r="29" spans="2:14">
      <c r="F29" s="7"/>
      <c r="G29" s="7"/>
      <c r="H29" s="6"/>
    </row>
    <row r="30" spans="2:14">
      <c r="F30" s="7"/>
      <c r="G30" s="7"/>
      <c r="H30" s="6"/>
    </row>
    <row r="31" spans="2:14">
      <c r="F31" s="7"/>
      <c r="G31" s="7"/>
      <c r="H31" s="6"/>
    </row>
    <row r="32" spans="2:14">
      <c r="F32" s="7"/>
      <c r="G32" s="7"/>
      <c r="H32" s="7"/>
    </row>
    <row r="33" spans="6:8">
      <c r="F33" s="7"/>
      <c r="G33" s="7"/>
      <c r="H33" s="7"/>
    </row>
    <row r="34" spans="6:8">
      <c r="F34" s="1"/>
      <c r="G34" s="1"/>
    </row>
  </sheetData>
  <mergeCells count="3">
    <mergeCell ref="B2:H2"/>
    <mergeCell ref="C3:G3"/>
    <mergeCell ref="H3:H4"/>
  </mergeCells>
  <phoneticPr fontId="21" type="noConversion"/>
  <pageMargins left="0.7" right="0.7" top="0.75" bottom="0.75" header="0.3" footer="0.3"/>
  <pageSetup orientation="portrait"/>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sheetPr>
    <pageSetUpPr fitToPage="1"/>
  </sheetPr>
  <dimension ref="B2:G32"/>
  <sheetViews>
    <sheetView workbookViewId="0">
      <selection activeCell="B21" sqref="B21:E21"/>
    </sheetView>
  </sheetViews>
  <sheetFormatPr defaultColWidth="9.140625" defaultRowHeight="15"/>
  <cols>
    <col min="1" max="1" width="9.140625" style="22"/>
    <col min="2" max="2" width="32" style="4" customWidth="1"/>
    <col min="3" max="5" width="16.7109375" style="4" customWidth="1"/>
    <col min="6" max="6" width="9.140625" style="4"/>
    <col min="7" max="16384" width="9.140625" style="22"/>
  </cols>
  <sheetData>
    <row r="2" spans="2:7" ht="39" customHeight="1">
      <c r="B2" s="445" t="s">
        <v>351</v>
      </c>
      <c r="C2" s="445"/>
      <c r="D2" s="445"/>
      <c r="E2" s="445"/>
      <c r="F2" s="20"/>
    </row>
    <row r="3" spans="2:7" ht="30.75">
      <c r="B3" s="270"/>
      <c r="C3" s="380" t="s">
        <v>375</v>
      </c>
      <c r="D3" s="271" t="s">
        <v>64</v>
      </c>
      <c r="E3" s="271" t="s">
        <v>143</v>
      </c>
      <c r="F3" s="3"/>
      <c r="G3" s="272"/>
    </row>
    <row r="4" spans="2:7">
      <c r="B4" s="275" t="s">
        <v>239</v>
      </c>
      <c r="C4" s="167">
        <v>135000</v>
      </c>
      <c r="D4" s="168">
        <v>1</v>
      </c>
      <c r="E4" s="28">
        <f t="shared" ref="E4:E15" si="0">C4*D4</f>
        <v>135000</v>
      </c>
      <c r="F4" s="3"/>
      <c r="G4" s="272"/>
    </row>
    <row r="5" spans="2:7" ht="18">
      <c r="B5" s="275" t="s">
        <v>376</v>
      </c>
      <c r="C5" s="167">
        <v>50000</v>
      </c>
      <c r="D5" s="168">
        <v>1</v>
      </c>
      <c r="E5" s="28">
        <f t="shared" si="0"/>
        <v>50000</v>
      </c>
      <c r="F5" s="3"/>
      <c r="G5" s="272"/>
    </row>
    <row r="6" spans="2:7">
      <c r="B6" s="275" t="s">
        <v>65</v>
      </c>
      <c r="C6" s="167">
        <v>32500</v>
      </c>
      <c r="D6" s="168">
        <v>1</v>
      </c>
      <c r="E6" s="28">
        <f t="shared" si="0"/>
        <v>32500</v>
      </c>
      <c r="F6" s="3"/>
      <c r="G6" s="272"/>
    </row>
    <row r="7" spans="2:7">
      <c r="B7" s="275" t="s">
        <v>66</v>
      </c>
      <c r="C7" s="167">
        <v>25000</v>
      </c>
      <c r="D7" s="168">
        <v>1</v>
      </c>
      <c r="E7" s="28">
        <f t="shared" si="0"/>
        <v>25000</v>
      </c>
      <c r="F7" s="3"/>
      <c r="G7" s="272"/>
    </row>
    <row r="8" spans="2:7">
      <c r="B8" s="275" t="s">
        <v>240</v>
      </c>
      <c r="C8" s="167">
        <v>7500</v>
      </c>
      <c r="D8" s="168">
        <v>2</v>
      </c>
      <c r="E8" s="28">
        <f t="shared" si="0"/>
        <v>15000</v>
      </c>
      <c r="F8" s="3"/>
      <c r="G8" s="272"/>
    </row>
    <row r="9" spans="2:7">
      <c r="B9" s="275" t="s">
        <v>241</v>
      </c>
      <c r="C9" s="167">
        <v>20000</v>
      </c>
      <c r="D9" s="168">
        <v>1</v>
      </c>
      <c r="E9" s="28">
        <f t="shared" si="0"/>
        <v>20000</v>
      </c>
      <c r="F9" s="3"/>
      <c r="G9" s="272"/>
    </row>
    <row r="10" spans="2:7">
      <c r="B10" s="275" t="s">
        <v>242</v>
      </c>
      <c r="C10" s="167">
        <v>7000</v>
      </c>
      <c r="D10" s="168">
        <v>1</v>
      </c>
      <c r="E10" s="28">
        <f t="shared" si="0"/>
        <v>7000</v>
      </c>
      <c r="F10" s="3"/>
      <c r="G10" s="272"/>
    </row>
    <row r="11" spans="2:7">
      <c r="B11" s="275" t="s">
        <v>243</v>
      </c>
      <c r="C11" s="167">
        <v>5000</v>
      </c>
      <c r="D11" s="168">
        <v>1</v>
      </c>
      <c r="E11" s="28">
        <f t="shared" si="0"/>
        <v>5000</v>
      </c>
      <c r="F11" s="3"/>
      <c r="G11" s="272"/>
    </row>
    <row r="12" spans="2:7">
      <c r="B12" s="275" t="s">
        <v>244</v>
      </c>
      <c r="C12" s="167">
        <v>8000</v>
      </c>
      <c r="D12" s="168">
        <v>1</v>
      </c>
      <c r="E12" s="28">
        <f t="shared" si="0"/>
        <v>8000</v>
      </c>
      <c r="F12" s="3"/>
      <c r="G12" s="272"/>
    </row>
    <row r="13" spans="2:7">
      <c r="B13" s="275" t="s">
        <v>245</v>
      </c>
      <c r="C13" s="167">
        <v>25000</v>
      </c>
      <c r="D13" s="168">
        <v>1</v>
      </c>
      <c r="E13" s="28">
        <f>C13*D13</f>
        <v>25000</v>
      </c>
      <c r="F13" s="3"/>
      <c r="G13" s="272"/>
    </row>
    <row r="14" spans="2:7">
      <c r="B14" s="276" t="s">
        <v>246</v>
      </c>
      <c r="C14" s="169">
        <v>7500</v>
      </c>
      <c r="D14" s="170">
        <v>1</v>
      </c>
      <c r="E14" s="165">
        <f t="shared" si="0"/>
        <v>7500</v>
      </c>
      <c r="F14" s="3"/>
      <c r="G14" s="272"/>
    </row>
    <row r="15" spans="2:7">
      <c r="B15" s="276" t="s">
        <v>247</v>
      </c>
      <c r="C15" s="169">
        <v>20000</v>
      </c>
      <c r="D15" s="170">
        <v>1</v>
      </c>
      <c r="E15" s="165">
        <f t="shared" si="0"/>
        <v>20000</v>
      </c>
      <c r="F15" s="3"/>
      <c r="G15" s="272"/>
    </row>
    <row r="16" spans="2:7">
      <c r="B16" s="276" t="s">
        <v>74</v>
      </c>
      <c r="C16" s="169">
        <v>100</v>
      </c>
      <c r="D16" s="170">
        <v>50</v>
      </c>
      <c r="E16" s="165">
        <f>C16*D16</f>
        <v>5000</v>
      </c>
      <c r="F16" s="3"/>
      <c r="G16" s="272"/>
    </row>
    <row r="17" spans="2:7" ht="18">
      <c r="B17" s="276" t="s">
        <v>377</v>
      </c>
      <c r="C17" s="169">
        <v>20000</v>
      </c>
      <c r="D17" s="170">
        <v>1</v>
      </c>
      <c r="E17" s="165">
        <f>C17*D17</f>
        <v>20000</v>
      </c>
      <c r="F17" s="3"/>
      <c r="G17" s="272"/>
    </row>
    <row r="18" spans="2:7" ht="18.75" thickBot="1">
      <c r="B18" s="276" t="s">
        <v>378</v>
      </c>
      <c r="C18" s="169">
        <v>50000</v>
      </c>
      <c r="D18" s="170">
        <v>1</v>
      </c>
      <c r="E18" s="166">
        <f>C18*D18</f>
        <v>50000</v>
      </c>
      <c r="F18" s="3"/>
      <c r="G18" s="272"/>
    </row>
    <row r="19" spans="2:7" ht="15.75" thickTop="1">
      <c r="B19" s="273" t="s">
        <v>49</v>
      </c>
      <c r="C19" s="277"/>
      <c r="D19" s="278"/>
      <c r="E19" s="274">
        <f>SUM(E4:E18)</f>
        <v>425000</v>
      </c>
      <c r="F19" s="3"/>
      <c r="G19" s="272"/>
    </row>
    <row r="20" spans="2:7">
      <c r="B20" s="69" t="s">
        <v>163</v>
      </c>
      <c r="C20" s="3"/>
      <c r="D20" s="3"/>
      <c r="E20" s="3"/>
      <c r="F20" s="3"/>
      <c r="G20" s="272"/>
    </row>
    <row r="21" spans="2:7" ht="26.25" customHeight="1">
      <c r="B21" s="435" t="s">
        <v>374</v>
      </c>
      <c r="C21" s="435"/>
      <c r="D21" s="435"/>
      <c r="E21" s="435"/>
      <c r="F21" s="3"/>
      <c r="G21" s="272"/>
    </row>
    <row r="22" spans="2:7">
      <c r="B22" s="69" t="s">
        <v>373</v>
      </c>
      <c r="C22" s="3"/>
      <c r="D22" s="3"/>
      <c r="E22" s="3"/>
      <c r="F22" s="3"/>
      <c r="G22" s="272"/>
    </row>
    <row r="23" spans="2:7" ht="26.25" customHeight="1">
      <c r="B23" s="434" t="s">
        <v>379</v>
      </c>
      <c r="C23" s="434"/>
      <c r="D23" s="434"/>
      <c r="E23" s="434"/>
      <c r="F23" s="3"/>
      <c r="G23" s="272"/>
    </row>
    <row r="24" spans="2:7">
      <c r="B24" s="69" t="s">
        <v>380</v>
      </c>
      <c r="C24" s="3"/>
      <c r="D24" s="3"/>
      <c r="E24" s="3"/>
      <c r="F24" s="3"/>
      <c r="G24" s="272"/>
    </row>
    <row r="25" spans="2:7">
      <c r="B25" s="69" t="s">
        <v>381</v>
      </c>
      <c r="C25" s="3"/>
      <c r="D25" s="3"/>
      <c r="E25" s="3"/>
      <c r="F25" s="3"/>
      <c r="G25" s="272"/>
    </row>
    <row r="27" spans="2:7">
      <c r="B27" s="22"/>
    </row>
    <row r="32" spans="2:7">
      <c r="B32" s="26"/>
    </row>
  </sheetData>
  <protectedRanges>
    <protectedRange sqref="C4:D18" name="Price and No. of Units_1_2"/>
  </protectedRanges>
  <mergeCells count="3">
    <mergeCell ref="B21:E21"/>
    <mergeCell ref="B2:E2"/>
    <mergeCell ref="B23:E23"/>
  </mergeCells>
  <phoneticPr fontId="21" type="noConversion"/>
  <pageMargins left="0.7" right="0.7" top="0.75" bottom="0.75" header="0.3" footer="0.3"/>
  <pageSetup scale="84" orientation="portrait" horizontalDpi="4294967293" verticalDpi="4294967293" r:id="rId1"/>
  <extLst>
    <ext xmlns:mx="http://schemas.microsoft.com/office/mac/excel/2008/main" uri="{64002731-A6B0-56B0-2670-7721B7C09600}">
      <mx:PLV Mode="0" OnePage="0" WScale="100"/>
    </ext>
  </extLst>
</worksheet>
</file>

<file path=xl/worksheets/sheet6.xml><?xml version="1.0" encoding="utf-8"?>
<worksheet xmlns="http://schemas.openxmlformats.org/spreadsheetml/2006/main" xmlns:r="http://schemas.openxmlformats.org/officeDocument/2006/relationships">
  <dimension ref="B2:L29"/>
  <sheetViews>
    <sheetView workbookViewId="0">
      <selection activeCell="B27" sqref="B27"/>
    </sheetView>
  </sheetViews>
  <sheetFormatPr defaultColWidth="9.140625" defaultRowHeight="15"/>
  <cols>
    <col min="1" max="1" width="6.7109375" style="4" customWidth="1"/>
    <col min="2" max="2" width="33.42578125" style="4" customWidth="1"/>
    <col min="3" max="3" width="15.42578125" style="4" customWidth="1"/>
    <col min="4" max="4" width="14.42578125" style="4" customWidth="1"/>
    <col min="5" max="5" width="16.42578125" style="4" customWidth="1"/>
    <col min="6" max="6" width="14.42578125" style="4" customWidth="1"/>
    <col min="7" max="7" width="17.7109375" style="4" customWidth="1"/>
    <col min="8" max="8" width="5.140625" style="4" customWidth="1"/>
    <col min="9" max="9" width="15.42578125" style="4" customWidth="1"/>
    <col min="10" max="10" width="4.85546875" style="4" customWidth="1"/>
    <col min="11" max="13" width="9.140625" style="4"/>
    <col min="14" max="14" width="10.42578125" style="4" bestFit="1" customWidth="1"/>
    <col min="15" max="16384" width="9.140625" style="4"/>
  </cols>
  <sheetData>
    <row r="2" spans="2:12" ht="18.75" customHeight="1">
      <c r="B2" s="442" t="s">
        <v>341</v>
      </c>
      <c r="C2" s="442"/>
      <c r="D2" s="442"/>
      <c r="E2" s="442"/>
      <c r="F2" s="442"/>
      <c r="G2" s="442"/>
      <c r="H2" s="27"/>
    </row>
    <row r="3" spans="2:12" ht="31.5">
      <c r="B3" s="23"/>
      <c r="C3" s="24" t="s">
        <v>40</v>
      </c>
      <c r="D3" s="24" t="s">
        <v>204</v>
      </c>
      <c r="E3" s="24" t="s">
        <v>34</v>
      </c>
      <c r="F3" s="24" t="s">
        <v>41</v>
      </c>
      <c r="G3" s="24" t="s">
        <v>205</v>
      </c>
    </row>
    <row r="4" spans="2:12" ht="18">
      <c r="B4" s="3" t="s">
        <v>206</v>
      </c>
      <c r="C4" s="28">
        <f>'App1. Estab Costs'!$H$18</f>
        <v>30000</v>
      </c>
      <c r="D4" s="28">
        <v>0</v>
      </c>
      <c r="E4" s="44">
        <f>$K$5</f>
        <v>10</v>
      </c>
      <c r="F4" s="25">
        <f>((C4+D4)/2)*$C$11</f>
        <v>750</v>
      </c>
      <c r="G4" s="29">
        <f>F4/E4</f>
        <v>75</v>
      </c>
      <c r="H4" s="30"/>
      <c r="I4" s="35" t="s">
        <v>62</v>
      </c>
      <c r="K4" s="363">
        <f>'App5. Data for tables'!H64</f>
        <v>11</v>
      </c>
      <c r="L4" s="43"/>
    </row>
    <row r="5" spans="2:12">
      <c r="B5" s="3" t="s">
        <v>16</v>
      </c>
      <c r="C5" s="28">
        <f>'App1. Estab Costs'!$H$6</f>
        <v>132000</v>
      </c>
      <c r="D5" s="28" t="s">
        <v>177</v>
      </c>
      <c r="E5" s="44">
        <f>$K$4</f>
        <v>11</v>
      </c>
      <c r="F5" s="25">
        <f>C5*$C$11</f>
        <v>6600</v>
      </c>
      <c r="G5" s="29">
        <f>F5/E5</f>
        <v>600</v>
      </c>
      <c r="I5" s="35" t="s">
        <v>63</v>
      </c>
      <c r="K5" s="363">
        <f>'App5. Data for tables'!H65</f>
        <v>10</v>
      </c>
      <c r="L5" s="43"/>
    </row>
    <row r="6" spans="2:12" ht="18">
      <c r="B6" s="3" t="s">
        <v>382</v>
      </c>
      <c r="C6" s="28">
        <f>'Mach. Equip. &amp; Build. Req.'!$E$19</f>
        <v>425000</v>
      </c>
      <c r="D6" s="28">
        <f>'App3. Salv Value &amp; Dep Costs'!F20</f>
        <v>24000</v>
      </c>
      <c r="E6" s="44">
        <f>$K$6</f>
        <v>100</v>
      </c>
      <c r="F6" s="25">
        <f>((C6+D6)/2)*$C$11</f>
        <v>11225</v>
      </c>
      <c r="G6" s="29">
        <f>F6/E6</f>
        <v>112.25</v>
      </c>
      <c r="I6" s="337" t="s">
        <v>182</v>
      </c>
      <c r="K6" s="363">
        <f>'App5. Data for tables'!H67</f>
        <v>100</v>
      </c>
    </row>
    <row r="7" spans="2:12" ht="18">
      <c r="B7" s="35" t="s">
        <v>207</v>
      </c>
      <c r="C7" s="25">
        <f>'App1. Estab Costs'!$H$21</f>
        <v>6500</v>
      </c>
      <c r="D7" s="188">
        <v>0</v>
      </c>
      <c r="E7" s="187">
        <f>$K$5</f>
        <v>10</v>
      </c>
      <c r="F7" s="25">
        <f t="shared" ref="F7:F9" si="0">((C7+D7)/2)*$C$11</f>
        <v>162.5</v>
      </c>
      <c r="G7" s="29">
        <f t="shared" ref="G7:G9" si="1">F7/E7</f>
        <v>16.25</v>
      </c>
    </row>
    <row r="8" spans="2:12" ht="18">
      <c r="B8" s="1" t="s">
        <v>208</v>
      </c>
      <c r="C8" s="165">
        <f>'App1. Estab Costs'!$H$22</f>
        <v>3000</v>
      </c>
      <c r="D8" s="165">
        <v>0</v>
      </c>
      <c r="E8" s="187">
        <f>$K$5</f>
        <v>10</v>
      </c>
      <c r="F8" s="25">
        <f t="shared" si="0"/>
        <v>75</v>
      </c>
      <c r="G8" s="29">
        <f t="shared" si="1"/>
        <v>7.5</v>
      </c>
    </row>
    <row r="9" spans="2:12" ht="18">
      <c r="B9" s="111" t="s">
        <v>209</v>
      </c>
      <c r="C9" s="25">
        <f>'App1. Estab Costs'!$H$15</f>
        <v>25000</v>
      </c>
      <c r="D9" s="189">
        <v>0</v>
      </c>
      <c r="E9" s="187">
        <f>$K$5</f>
        <v>10</v>
      </c>
      <c r="F9" s="25">
        <f t="shared" si="0"/>
        <v>625</v>
      </c>
      <c r="G9" s="29">
        <f t="shared" si="1"/>
        <v>62.5</v>
      </c>
      <c r="H9" s="26"/>
      <c r="I9" s="26"/>
      <c r="J9" s="26"/>
    </row>
    <row r="10" spans="2:12" ht="18">
      <c r="B10" s="338" t="s">
        <v>210</v>
      </c>
      <c r="C10" s="183">
        <f>'App1. Estab Costs'!$H$76</f>
        <v>41289.599999999999</v>
      </c>
      <c r="D10" s="183">
        <v>0</v>
      </c>
      <c r="E10" s="184">
        <f>$K$5</f>
        <v>10</v>
      </c>
      <c r="F10" s="185">
        <f>((C10+D10)/2)*$C$11</f>
        <v>1032.24</v>
      </c>
      <c r="G10" s="186">
        <f>F10/E10</f>
        <v>103.224</v>
      </c>
      <c r="H10" s="26"/>
      <c r="I10" s="26"/>
      <c r="J10" s="26"/>
    </row>
    <row r="11" spans="2:12">
      <c r="B11" s="306" t="s">
        <v>39</v>
      </c>
      <c r="C11" s="307">
        <f>'App5. Data for tables'!$C$61</f>
        <v>0.05</v>
      </c>
      <c r="D11" s="308"/>
      <c r="E11" s="308"/>
      <c r="F11" s="308"/>
      <c r="G11" s="308"/>
    </row>
    <row r="12" spans="2:12" s="35" customFormat="1">
      <c r="B12" s="36" t="s">
        <v>148</v>
      </c>
    </row>
    <row r="13" spans="2:12">
      <c r="B13" s="36" t="s">
        <v>211</v>
      </c>
      <c r="C13" s="32"/>
      <c r="G13" s="33"/>
    </row>
    <row r="14" spans="2:12" s="35" customFormat="1" ht="26.45" customHeight="1">
      <c r="B14" s="449" t="s">
        <v>343</v>
      </c>
      <c r="C14" s="449"/>
      <c r="D14" s="449"/>
      <c r="E14" s="449"/>
      <c r="F14" s="449"/>
      <c r="G14" s="449"/>
    </row>
    <row r="15" spans="2:12" s="35" customFormat="1" ht="27.75" customHeight="1">
      <c r="B15" s="448" t="s">
        <v>310</v>
      </c>
      <c r="C15" s="448"/>
      <c r="D15" s="448"/>
      <c r="E15" s="448"/>
      <c r="F15" s="448"/>
      <c r="G15" s="448"/>
    </row>
    <row r="16" spans="2:12" s="35" customFormat="1" ht="27" customHeight="1">
      <c r="B16" s="448" t="s">
        <v>356</v>
      </c>
      <c r="C16" s="448"/>
      <c r="D16" s="448"/>
      <c r="E16" s="448"/>
      <c r="F16" s="448"/>
      <c r="G16" s="448"/>
    </row>
    <row r="17" spans="2:9" s="35" customFormat="1" ht="15.75" customHeight="1">
      <c r="B17" s="447" t="s">
        <v>392</v>
      </c>
      <c r="C17" s="447"/>
      <c r="D17" s="447"/>
      <c r="E17" s="447"/>
      <c r="F17" s="447"/>
      <c r="G17" s="447"/>
    </row>
    <row r="18" spans="2:9" ht="18.75" customHeight="1"/>
    <row r="19" spans="2:9" ht="18.75">
      <c r="B19" s="442" t="s">
        <v>342</v>
      </c>
      <c r="C19" s="442"/>
      <c r="D19" s="442"/>
      <c r="E19" s="442"/>
      <c r="F19" s="442"/>
      <c r="G19" s="31"/>
      <c r="I19" s="30"/>
    </row>
    <row r="20" spans="2:9" ht="45.75">
      <c r="B20" s="23"/>
      <c r="C20" s="24" t="s">
        <v>40</v>
      </c>
      <c r="D20" s="24" t="s">
        <v>34</v>
      </c>
      <c r="E20" s="24" t="s">
        <v>42</v>
      </c>
      <c r="F20" s="24" t="s">
        <v>43</v>
      </c>
      <c r="G20" s="24" t="s">
        <v>212</v>
      </c>
      <c r="I20" s="42"/>
    </row>
    <row r="21" spans="2:9">
      <c r="B21" s="3" t="s">
        <v>6</v>
      </c>
      <c r="C21" s="25">
        <f>C4</f>
        <v>30000</v>
      </c>
      <c r="D21" s="44">
        <f>$K$5</f>
        <v>10</v>
      </c>
      <c r="E21" s="34">
        <f>C21/D21</f>
        <v>3000</v>
      </c>
      <c r="F21" s="171">
        <v>30</v>
      </c>
      <c r="G21" s="29">
        <f>(E21-D4)/F21</f>
        <v>100</v>
      </c>
      <c r="I21" s="30"/>
    </row>
    <row r="22" spans="2:9">
      <c r="B22" s="35" t="s">
        <v>7</v>
      </c>
      <c r="C22" s="25">
        <f>C7</f>
        <v>6500</v>
      </c>
      <c r="D22" s="44">
        <f>$K$5</f>
        <v>10</v>
      </c>
      <c r="E22" s="34">
        <f t="shared" ref="E22:E25" si="2">C22/D22</f>
        <v>650</v>
      </c>
      <c r="F22" s="171">
        <v>30</v>
      </c>
      <c r="G22" s="29">
        <f>(E22-D7)/F22</f>
        <v>21.666666666666668</v>
      </c>
      <c r="I22" s="30"/>
    </row>
    <row r="23" spans="2:9">
      <c r="B23" s="1" t="s">
        <v>9</v>
      </c>
      <c r="C23" s="25">
        <f>C8</f>
        <v>3000</v>
      </c>
      <c r="D23" s="44">
        <f>$K$5</f>
        <v>10</v>
      </c>
      <c r="E23" s="34">
        <f t="shared" si="2"/>
        <v>300</v>
      </c>
      <c r="F23" s="171">
        <v>50</v>
      </c>
      <c r="G23" s="29">
        <f>(E23-D8)/F23</f>
        <v>6</v>
      </c>
      <c r="I23" s="30"/>
    </row>
    <row r="24" spans="2:9">
      <c r="B24" s="111" t="s">
        <v>11</v>
      </c>
      <c r="C24" s="25">
        <f>C9</f>
        <v>25000</v>
      </c>
      <c r="D24" s="44">
        <f t="shared" ref="D24:D25" si="3">$K$5</f>
        <v>10</v>
      </c>
      <c r="E24" s="34">
        <f t="shared" si="2"/>
        <v>2500</v>
      </c>
      <c r="F24" s="171">
        <v>30</v>
      </c>
      <c r="G24" s="29">
        <f>(E24-D9)/F24</f>
        <v>83.333333333333329</v>
      </c>
    </row>
    <row r="25" spans="2:9">
      <c r="B25" s="164" t="s">
        <v>146</v>
      </c>
      <c r="C25" s="298">
        <f>C10</f>
        <v>41289.599999999999</v>
      </c>
      <c r="D25" s="187">
        <f t="shared" si="3"/>
        <v>10</v>
      </c>
      <c r="E25" s="299">
        <f t="shared" si="2"/>
        <v>4128.96</v>
      </c>
      <c r="F25" s="300">
        <v>30</v>
      </c>
      <c r="G25" s="29">
        <f>(E25-D10)/F25</f>
        <v>137.63200000000001</v>
      </c>
    </row>
    <row r="26" spans="2:9" ht="18">
      <c r="B26" s="301" t="s">
        <v>397</v>
      </c>
      <c r="C26" s="292"/>
      <c r="D26" s="293"/>
      <c r="E26" s="294"/>
      <c r="F26" s="295"/>
      <c r="G26" s="297">
        <f>'App3. Salv Value &amp; Dep Costs'!H20</f>
        <v>291.16666666666669</v>
      </c>
      <c r="I26" s="79"/>
    </row>
    <row r="27" spans="2:9">
      <c r="B27" s="36" t="s">
        <v>148</v>
      </c>
    </row>
    <row r="28" spans="2:9">
      <c r="B28" s="446" t="s">
        <v>344</v>
      </c>
      <c r="C28" s="446"/>
      <c r="D28" s="446"/>
      <c r="E28" s="446"/>
      <c r="F28" s="446"/>
      <c r="G28" s="446"/>
    </row>
    <row r="29" spans="2:9">
      <c r="B29" s="36" t="s">
        <v>393</v>
      </c>
    </row>
  </sheetData>
  <protectedRanges>
    <protectedRange sqref="F21:F26" name="Depreciation"/>
    <protectedRange sqref="C11" name="Interest and Salvage"/>
    <protectedRange sqref="K4:K6" name="Acres"/>
  </protectedRanges>
  <mergeCells count="7">
    <mergeCell ref="B28:G28"/>
    <mergeCell ref="B2:G2"/>
    <mergeCell ref="B19:F19"/>
    <mergeCell ref="B17:G17"/>
    <mergeCell ref="B15:G15"/>
    <mergeCell ref="B16:G16"/>
    <mergeCell ref="B14:G14"/>
  </mergeCells>
  <phoneticPr fontId="21" type="noConversion"/>
  <pageMargins left="0.7" right="0.7" top="0.75" bottom="0.75" header="0.3" footer="0.3"/>
  <pageSetup orientation="portrait" r:id="rId1"/>
  <ignoredErrors>
    <ignoredError sqref="C11 K4:K6" unlockedFormula="1"/>
    <ignoredError sqref="F5" formula="1"/>
  </ignoredError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dimension ref="B2:E13"/>
  <sheetViews>
    <sheetView workbookViewId="0">
      <selection activeCell="B3" sqref="B3:E10"/>
    </sheetView>
  </sheetViews>
  <sheetFormatPr defaultColWidth="9.140625" defaultRowHeight="15"/>
  <cols>
    <col min="1" max="1" width="9.140625" style="105"/>
    <col min="2" max="2" width="10" style="105" customWidth="1"/>
    <col min="3" max="3" width="14" style="105" customWidth="1"/>
    <col min="4" max="4" width="18.140625" style="105" customWidth="1"/>
    <col min="5" max="5" width="17.5703125" style="105" customWidth="1"/>
    <col min="6" max="16384" width="9.140625" style="105"/>
  </cols>
  <sheetData>
    <row r="2" spans="2:5" ht="37.5" customHeight="1">
      <c r="B2" s="450" t="s">
        <v>404</v>
      </c>
      <c r="C2" s="450"/>
      <c r="D2" s="450"/>
      <c r="E2" s="450"/>
    </row>
    <row r="3" spans="2:5" ht="50.25">
      <c r="B3" s="422" t="s">
        <v>358</v>
      </c>
      <c r="C3" s="423" t="s">
        <v>194</v>
      </c>
      <c r="D3" s="423" t="s">
        <v>402</v>
      </c>
      <c r="E3" s="423" t="s">
        <v>403</v>
      </c>
    </row>
    <row r="4" spans="2:5">
      <c r="B4" s="414">
        <v>0.03</v>
      </c>
      <c r="C4" s="421">
        <v>778435.83001580066</v>
      </c>
      <c r="D4" s="424">
        <v>6.43</v>
      </c>
      <c r="E4" s="424">
        <v>10.77</v>
      </c>
    </row>
    <row r="5" spans="2:5">
      <c r="B5" s="370">
        <v>0.04</v>
      </c>
      <c r="C5" s="371">
        <v>618888.8734066973</v>
      </c>
      <c r="D5" s="372">
        <v>6.55</v>
      </c>
      <c r="E5" s="372">
        <v>11.28</v>
      </c>
    </row>
    <row r="6" spans="2:5">
      <c r="B6" s="370">
        <v>0.05</v>
      </c>
      <c r="C6" s="371">
        <v>487765.83581842296</v>
      </c>
      <c r="D6" s="372">
        <v>6.67</v>
      </c>
      <c r="E6" s="372">
        <v>11.86</v>
      </c>
    </row>
    <row r="7" spans="2:5">
      <c r="B7" s="370">
        <v>0.06</v>
      </c>
      <c r="C7" s="371">
        <v>379391.7368526209</v>
      </c>
      <c r="D7" s="415">
        <v>6.8</v>
      </c>
      <c r="E7" s="372">
        <v>12.55</v>
      </c>
    </row>
    <row r="8" spans="2:5">
      <c r="B8" s="370">
        <v>7.0000000000000007E-2</v>
      </c>
      <c r="C8" s="371">
        <v>289329.57799745945</v>
      </c>
      <c r="D8" s="415">
        <v>6.94</v>
      </c>
      <c r="E8" s="372">
        <v>13.37</v>
      </c>
    </row>
    <row r="9" spans="2:5">
      <c r="B9" s="370">
        <v>0.08</v>
      </c>
      <c r="C9" s="371">
        <v>214091.88977039629</v>
      </c>
      <c r="D9" s="415">
        <v>7.09</v>
      </c>
      <c r="E9" s="372">
        <v>14.39</v>
      </c>
    </row>
    <row r="10" spans="2:5">
      <c r="B10" s="373">
        <v>0.09</v>
      </c>
      <c r="C10" s="374">
        <v>150923.04182718435</v>
      </c>
      <c r="D10" s="375">
        <v>7.26</v>
      </c>
      <c r="E10" s="376">
        <v>15.69</v>
      </c>
    </row>
    <row r="11" spans="2:5">
      <c r="B11" s="377" t="s">
        <v>148</v>
      </c>
    </row>
    <row r="12" spans="2:5" ht="30" customHeight="1">
      <c r="B12" s="446" t="s">
        <v>384</v>
      </c>
      <c r="C12" s="446"/>
      <c r="D12" s="446"/>
      <c r="E12" s="446"/>
    </row>
    <row r="13" spans="2:5" ht="40.5" customHeight="1">
      <c r="B13" s="446" t="s">
        <v>398</v>
      </c>
      <c r="C13" s="446"/>
      <c r="D13" s="446"/>
      <c r="E13" s="446"/>
    </row>
  </sheetData>
  <mergeCells count="3">
    <mergeCell ref="B12:E12"/>
    <mergeCell ref="B13:E13"/>
    <mergeCell ref="B2:E2"/>
  </mergeCell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2:T148"/>
  <sheetViews>
    <sheetView workbookViewId="0"/>
  </sheetViews>
  <sheetFormatPr defaultColWidth="9.140625" defaultRowHeight="15"/>
  <cols>
    <col min="1" max="1" width="9.7109375" style="50" customWidth="1"/>
    <col min="2" max="2" width="45.42578125" style="50" customWidth="1"/>
    <col min="3" max="3" width="13.42578125" style="50" customWidth="1"/>
    <col min="4" max="4" width="13.28515625" style="50" bestFit="1" customWidth="1"/>
    <col min="5" max="5" width="13.140625" style="50" customWidth="1"/>
    <col min="6" max="6" width="12.85546875" style="50" customWidth="1"/>
    <col min="7" max="8" width="14.42578125" style="50" customWidth="1"/>
    <col min="9" max="9" width="11.42578125" style="50" customWidth="1"/>
    <col min="10" max="10" width="11.7109375" style="50" customWidth="1"/>
    <col min="11" max="11" width="10.140625" style="50" customWidth="1"/>
    <col min="12" max="12" width="7.140625" style="50" customWidth="1"/>
    <col min="13" max="16384" width="9.140625" style="50"/>
  </cols>
  <sheetData>
    <row r="2" spans="1:12" ht="18.75" customHeight="1">
      <c r="B2" s="451" t="s">
        <v>311</v>
      </c>
      <c r="C2" s="451"/>
      <c r="D2" s="451"/>
      <c r="E2" s="451"/>
      <c r="F2" s="451"/>
      <c r="G2" s="451"/>
      <c r="H2" s="451"/>
    </row>
    <row r="3" spans="1:12" ht="29.25">
      <c r="B3" s="87"/>
      <c r="C3" s="113" t="s">
        <v>35</v>
      </c>
      <c r="D3" s="113" t="s">
        <v>33</v>
      </c>
      <c r="E3" s="113" t="s">
        <v>36</v>
      </c>
      <c r="F3" s="113" t="s">
        <v>34</v>
      </c>
      <c r="G3" s="114" t="s">
        <v>37</v>
      </c>
      <c r="H3" s="114" t="s">
        <v>38</v>
      </c>
    </row>
    <row r="4" spans="1:12">
      <c r="B4" s="88" t="s">
        <v>29</v>
      </c>
      <c r="J4" s="84" t="s">
        <v>62</v>
      </c>
      <c r="L4" s="175">
        <f>'App5. Data for tables'!$H$64</f>
        <v>11</v>
      </c>
    </row>
    <row r="5" spans="1:12">
      <c r="B5" s="50" t="s">
        <v>16</v>
      </c>
      <c r="J5" s="84" t="s">
        <v>63</v>
      </c>
      <c r="L5" s="175">
        <f>'App5. Data for tables'!$H$65</f>
        <v>10</v>
      </c>
    </row>
    <row r="6" spans="1:12" ht="15" customHeight="1">
      <c r="B6" s="90" t="s">
        <v>219</v>
      </c>
      <c r="C6" s="115"/>
      <c r="D6" s="115"/>
      <c r="E6" s="80">
        <f>'App5. Data for tables'!$C$5</f>
        <v>12000</v>
      </c>
      <c r="F6" s="116">
        <f>$L$4</f>
        <v>11</v>
      </c>
      <c r="G6" s="115">
        <f>E6</f>
        <v>12000</v>
      </c>
      <c r="H6" s="115">
        <f>G6*F6</f>
        <v>132000</v>
      </c>
      <c r="I6" s="117"/>
      <c r="J6" s="50" t="s">
        <v>58</v>
      </c>
      <c r="L6" s="176">
        <f>'App5. Data for tables'!$H$66</f>
        <v>1452</v>
      </c>
    </row>
    <row r="7" spans="1:12">
      <c r="A7" s="47"/>
      <c r="B7" s="84" t="s">
        <v>44</v>
      </c>
      <c r="E7" s="118"/>
      <c r="F7" s="116">
        <f>$L$5</f>
        <v>10</v>
      </c>
      <c r="G7" s="115">
        <f>SUM(E8:E11)</f>
        <v>576.5</v>
      </c>
      <c r="H7" s="115">
        <f>G7*F7</f>
        <v>5765</v>
      </c>
      <c r="I7" s="119"/>
    </row>
    <row r="8" spans="1:12">
      <c r="A8" s="47"/>
      <c r="B8" s="90" t="s">
        <v>127</v>
      </c>
      <c r="C8" s="123"/>
      <c r="D8" s="123"/>
      <c r="E8" s="80">
        <f>'App5. Data for tables'!$C$6</f>
        <v>150</v>
      </c>
      <c r="F8" s="54"/>
      <c r="G8" s="115"/>
      <c r="H8" s="115"/>
      <c r="I8" s="117"/>
      <c r="J8" s="120"/>
    </row>
    <row r="9" spans="1:12">
      <c r="A9" s="47"/>
      <c r="B9" s="90" t="s">
        <v>303</v>
      </c>
      <c r="C9" s="123"/>
      <c r="D9" s="123"/>
      <c r="E9" s="80">
        <f>'App5. Data for tables'!$C$7</f>
        <v>200</v>
      </c>
      <c r="F9" s="54"/>
      <c r="G9" s="115"/>
      <c r="H9" s="115"/>
      <c r="I9" s="117"/>
      <c r="J9" s="120"/>
    </row>
    <row r="10" spans="1:12">
      <c r="A10" s="47"/>
      <c r="B10" s="90" t="s">
        <v>174</v>
      </c>
      <c r="C10" s="123"/>
      <c r="D10" s="123"/>
      <c r="E10" s="80">
        <f>'App5. Data for tables'!$C$8</f>
        <v>200</v>
      </c>
      <c r="F10" s="49"/>
      <c r="I10" s="119"/>
      <c r="J10" s="120"/>
    </row>
    <row r="11" spans="1:12">
      <c r="A11" s="47"/>
      <c r="B11" s="90" t="s">
        <v>175</v>
      </c>
      <c r="E11" s="80">
        <f>'App5. Data for tables'!$C$9+('App5. Data for tables'!$C$10*'App5. Data for tables'!$C$11)</f>
        <v>26.5</v>
      </c>
      <c r="F11" s="116"/>
      <c r="G11" s="115"/>
      <c r="H11" s="115"/>
      <c r="I11" s="119"/>
    </row>
    <row r="12" spans="1:12">
      <c r="B12" s="50" t="s">
        <v>30</v>
      </c>
      <c r="C12" s="115"/>
      <c r="D12" s="115"/>
      <c r="E12" s="115"/>
      <c r="F12" s="116">
        <f>$L$5</f>
        <v>10</v>
      </c>
      <c r="G12" s="115">
        <f>SUM(E13:E14)</f>
        <v>10323.719999999999</v>
      </c>
      <c r="H12" s="115">
        <f>G12*F12</f>
        <v>103237.2</v>
      </c>
      <c r="I12" s="119"/>
    </row>
    <row r="13" spans="1:12">
      <c r="B13" s="89" t="s">
        <v>57</v>
      </c>
      <c r="C13" s="80">
        <f>'App5. Data for tables'!$C$13</f>
        <v>6.75</v>
      </c>
      <c r="D13" s="116">
        <f>$L$6</f>
        <v>1452</v>
      </c>
      <c r="E13" s="54">
        <f>C13*D13</f>
        <v>9801</v>
      </c>
      <c r="I13" s="119"/>
    </row>
    <row r="14" spans="1:12">
      <c r="B14" s="90" t="s">
        <v>75</v>
      </c>
      <c r="C14" s="80">
        <f>'App5. Data for tables'!$C$14*'App5. Data for tables'!$C$15</f>
        <v>0.36</v>
      </c>
      <c r="D14" s="116">
        <f>$L$6</f>
        <v>1452</v>
      </c>
      <c r="E14" s="54">
        <f>C14*D14</f>
        <v>522.72</v>
      </c>
      <c r="F14" s="116"/>
      <c r="G14" s="115"/>
      <c r="H14" s="115"/>
      <c r="I14" s="117"/>
    </row>
    <row r="15" spans="1:12">
      <c r="B15" s="163" t="s">
        <v>5</v>
      </c>
      <c r="C15" s="124"/>
      <c r="D15" s="125"/>
      <c r="E15" s="115"/>
      <c r="F15" s="116">
        <f>$L$5</f>
        <v>10</v>
      </c>
      <c r="G15" s="115">
        <f>SUM(E16:E17)</f>
        <v>2500</v>
      </c>
      <c r="H15" s="115">
        <f>G15*F15</f>
        <v>25000</v>
      </c>
      <c r="I15" s="117"/>
    </row>
    <row r="16" spans="1:12">
      <c r="B16" s="89" t="s">
        <v>31</v>
      </c>
      <c r="C16" s="80"/>
      <c r="D16" s="126"/>
      <c r="E16" s="122">
        <f>'App5. Data for tables'!$C$17</f>
        <v>1800</v>
      </c>
      <c r="I16" s="119"/>
    </row>
    <row r="17" spans="2:10">
      <c r="B17" s="90" t="s">
        <v>76</v>
      </c>
      <c r="C17" s="80"/>
      <c r="D17" s="126"/>
      <c r="E17" s="122">
        <f>'App5. Data for tables'!$C$18</f>
        <v>700</v>
      </c>
      <c r="F17" s="116"/>
      <c r="G17" s="115"/>
      <c r="H17" s="115"/>
      <c r="I17" s="128"/>
      <c r="J17" s="127"/>
    </row>
    <row r="18" spans="2:10">
      <c r="B18" s="50" t="s">
        <v>59</v>
      </c>
      <c r="C18" s="124"/>
      <c r="D18" s="124"/>
      <c r="E18" s="115"/>
      <c r="F18" s="116">
        <f>$L$5</f>
        <v>10</v>
      </c>
      <c r="G18" s="115">
        <f>SUM(E19:E20)</f>
        <v>3000</v>
      </c>
      <c r="H18" s="115">
        <f>G18*F18</f>
        <v>30000</v>
      </c>
    </row>
    <row r="19" spans="2:10">
      <c r="B19" s="90" t="s">
        <v>120</v>
      </c>
      <c r="C19" s="77"/>
      <c r="D19" s="121"/>
      <c r="E19" s="122">
        <f>'App5. Data for tables'!$C$19</f>
        <v>2200</v>
      </c>
      <c r="I19" s="84"/>
    </row>
    <row r="20" spans="2:10">
      <c r="B20" s="89" t="s">
        <v>60</v>
      </c>
      <c r="C20" s="80"/>
      <c r="D20" s="121"/>
      <c r="E20" s="122">
        <f>'App5. Data for tables'!$C$20</f>
        <v>800</v>
      </c>
      <c r="F20" s="116"/>
      <c r="G20" s="115"/>
      <c r="H20" s="115"/>
      <c r="I20" s="128"/>
    </row>
    <row r="21" spans="2:10">
      <c r="B21" s="91" t="s">
        <v>77</v>
      </c>
      <c r="C21" s="124"/>
      <c r="D21" s="129"/>
      <c r="E21" s="122">
        <f>'App5. Data for tables'!$C$21+'App5. Data for tables'!$C$22</f>
        <v>650</v>
      </c>
      <c r="F21" s="116">
        <f t="shared" ref="F21:F39" si="0">$L$5</f>
        <v>10</v>
      </c>
      <c r="G21" s="115">
        <f>E21</f>
        <v>650</v>
      </c>
      <c r="H21" s="115">
        <f t="shared" ref="H21:H35" si="1">G21*F21</f>
        <v>6500</v>
      </c>
      <c r="I21" s="119"/>
    </row>
    <row r="22" spans="2:10" ht="18">
      <c r="B22" s="91" t="s">
        <v>213</v>
      </c>
      <c r="C22" s="124"/>
      <c r="D22" s="129"/>
      <c r="E22" s="80">
        <f>'App5. Data for tables'!$C$23</f>
        <v>300</v>
      </c>
      <c r="F22" s="116">
        <f t="shared" si="0"/>
        <v>10</v>
      </c>
      <c r="G22" s="115">
        <f>E22</f>
        <v>300</v>
      </c>
      <c r="H22" s="115">
        <f>G22*F22</f>
        <v>3000</v>
      </c>
    </row>
    <row r="23" spans="2:10" ht="18">
      <c r="B23" s="49" t="s">
        <v>214</v>
      </c>
      <c r="C23" s="77"/>
      <c r="D23" s="116"/>
      <c r="E23" s="122">
        <f>('App5. Data for tables'!$C$24*'App5. Data for tables'!$C$25)+('App5. Data for tables'!$C$26*'App5. Data for tables'!$C$27)</f>
        <v>156</v>
      </c>
      <c r="F23" s="116">
        <f t="shared" si="0"/>
        <v>10</v>
      </c>
      <c r="G23" s="115">
        <f>E23</f>
        <v>156</v>
      </c>
      <c r="H23" s="54">
        <f t="shared" si="1"/>
        <v>1560</v>
      </c>
      <c r="I23" s="117"/>
    </row>
    <row r="24" spans="2:10" ht="18">
      <c r="B24" s="49" t="s">
        <v>215</v>
      </c>
      <c r="C24" s="144"/>
      <c r="D24" s="143"/>
      <c r="E24" s="122">
        <f>('App5. Data for tables'!$C$28*'App5. Data for tables'!$C$29)</f>
        <v>78</v>
      </c>
      <c r="F24" s="116">
        <f t="shared" si="0"/>
        <v>10</v>
      </c>
      <c r="G24" s="115">
        <f t="shared" ref="G24" si="2">E24</f>
        <v>78</v>
      </c>
      <c r="H24" s="54">
        <f t="shared" si="1"/>
        <v>780</v>
      </c>
      <c r="I24" s="157"/>
    </row>
    <row r="25" spans="2:10" ht="18">
      <c r="B25" s="49" t="s">
        <v>216</v>
      </c>
      <c r="C25" s="124"/>
      <c r="D25" s="129"/>
      <c r="E25" s="80"/>
      <c r="F25" s="116">
        <f t="shared" si="0"/>
        <v>10</v>
      </c>
      <c r="G25" s="54">
        <f>SUM(E26:E27)</f>
        <v>567</v>
      </c>
      <c r="H25" s="54">
        <f>G25*F25</f>
        <v>5670</v>
      </c>
      <c r="I25" s="155"/>
    </row>
    <row r="26" spans="2:10">
      <c r="B26" s="62" t="s">
        <v>78</v>
      </c>
      <c r="C26" s="124"/>
      <c r="D26" s="129"/>
      <c r="E26" s="80">
        <f>'App5. Data for tables'!$C$30</f>
        <v>525</v>
      </c>
      <c r="F26" s="116"/>
      <c r="G26" s="54"/>
      <c r="H26" s="54"/>
      <c r="I26" s="156"/>
    </row>
    <row r="27" spans="2:10" ht="18">
      <c r="B27" s="62" t="s">
        <v>217</v>
      </c>
      <c r="C27" s="124"/>
      <c r="D27" s="129"/>
      <c r="E27" s="80">
        <f>('App5. Data for tables'!$C$31*'App5. Data for tables'!$C$32)</f>
        <v>42</v>
      </c>
      <c r="F27" s="116"/>
      <c r="G27" s="54"/>
      <c r="H27" s="54"/>
      <c r="I27" s="156"/>
    </row>
    <row r="28" spans="2:10" ht="18">
      <c r="B28" s="49" t="s">
        <v>218</v>
      </c>
      <c r="C28" s="77"/>
      <c r="D28" s="121"/>
      <c r="E28" s="122"/>
      <c r="F28" s="116">
        <f t="shared" si="0"/>
        <v>10</v>
      </c>
      <c r="G28" s="54">
        <f>SUM(E29:E30)</f>
        <v>320</v>
      </c>
      <c r="H28" s="54">
        <f>G28*F28</f>
        <v>3200</v>
      </c>
      <c r="I28" s="81"/>
    </row>
    <row r="29" spans="2:10">
      <c r="B29" s="62" t="s">
        <v>78</v>
      </c>
      <c r="C29" s="124"/>
      <c r="D29" s="129"/>
      <c r="E29" s="80">
        <f>'App5. Data for tables'!$C$33</f>
        <v>320</v>
      </c>
      <c r="F29" s="116"/>
      <c r="G29" s="54"/>
      <c r="H29" s="54"/>
      <c r="I29" s="156"/>
    </row>
    <row r="30" spans="2:10" ht="18">
      <c r="B30" s="62" t="s">
        <v>220</v>
      </c>
      <c r="C30" s="124"/>
      <c r="D30" s="129"/>
      <c r="E30" s="80">
        <f>('App5. Data for tables'!$C$34*'App5. Data for tables'!$C$35)</f>
        <v>0</v>
      </c>
      <c r="F30" s="116"/>
      <c r="G30" s="54"/>
      <c r="H30" s="54"/>
      <c r="I30" s="156"/>
    </row>
    <row r="31" spans="2:10" ht="18">
      <c r="B31" s="92" t="s">
        <v>221</v>
      </c>
      <c r="C31" s="77"/>
      <c r="D31" s="121"/>
      <c r="E31" s="122">
        <f>'App5. Data for tables'!$C$54</f>
        <v>125</v>
      </c>
      <c r="F31" s="116">
        <f t="shared" si="0"/>
        <v>10</v>
      </c>
      <c r="G31" s="115">
        <f>E31</f>
        <v>125</v>
      </c>
      <c r="H31" s="115">
        <f t="shared" si="1"/>
        <v>1250</v>
      </c>
      <c r="I31" s="81"/>
    </row>
    <row r="32" spans="2:10">
      <c r="B32" s="92" t="s">
        <v>172</v>
      </c>
      <c r="C32" s="77"/>
      <c r="D32" s="121"/>
      <c r="E32" s="122">
        <f>'App5. Data for tables'!$C$36</f>
        <v>155</v>
      </c>
      <c r="F32" s="116">
        <f t="shared" si="0"/>
        <v>10</v>
      </c>
      <c r="G32" s="115">
        <f>E32</f>
        <v>155</v>
      </c>
      <c r="H32" s="115">
        <f t="shared" ref="H32" si="3">G32*F32</f>
        <v>1550</v>
      </c>
      <c r="I32" s="81"/>
    </row>
    <row r="33" spans="2:20">
      <c r="B33" s="93" t="s">
        <v>15</v>
      </c>
      <c r="C33" s="130"/>
      <c r="D33" s="131"/>
      <c r="E33" s="82">
        <f>'App5. Data for tables'!$C$37</f>
        <v>180</v>
      </c>
      <c r="F33" s="116">
        <f t="shared" si="0"/>
        <v>10</v>
      </c>
      <c r="G33" s="115">
        <f>E33</f>
        <v>180</v>
      </c>
      <c r="H33" s="115">
        <f t="shared" si="1"/>
        <v>1800</v>
      </c>
    </row>
    <row r="34" spans="2:20" ht="18">
      <c r="B34" s="93" t="s">
        <v>201</v>
      </c>
      <c r="C34" s="130"/>
      <c r="D34" s="131"/>
      <c r="E34" s="82">
        <f>('App5. Data for tables'!$C$38*'App5. Data for tables'!$C$39)</f>
        <v>140</v>
      </c>
      <c r="F34" s="116">
        <f t="shared" si="0"/>
        <v>10</v>
      </c>
      <c r="G34" s="115">
        <f>E34</f>
        <v>140</v>
      </c>
      <c r="H34" s="115">
        <f t="shared" ref="H34" si="4">G34*F34</f>
        <v>1400</v>
      </c>
    </row>
    <row r="35" spans="2:20" ht="18">
      <c r="B35" s="93" t="s">
        <v>222</v>
      </c>
      <c r="C35" s="130"/>
      <c r="D35" s="131"/>
      <c r="E35" s="82">
        <f>SUM('App5. Data for tables'!$C$47:$C$51)</f>
        <v>147</v>
      </c>
      <c r="F35" s="116">
        <f t="shared" si="0"/>
        <v>10</v>
      </c>
      <c r="G35" s="115">
        <f t="shared" ref="G35:G40" si="5">E35</f>
        <v>147</v>
      </c>
      <c r="H35" s="115">
        <f t="shared" si="1"/>
        <v>1470</v>
      </c>
    </row>
    <row r="36" spans="2:20" ht="18">
      <c r="B36" s="93" t="s">
        <v>223</v>
      </c>
      <c r="C36" s="130"/>
      <c r="D36" s="131"/>
      <c r="E36" s="82">
        <f>'App5. Data for tables'!$C$52</f>
        <v>85</v>
      </c>
      <c r="F36" s="116">
        <f t="shared" si="0"/>
        <v>10</v>
      </c>
      <c r="G36" s="115">
        <f t="shared" si="5"/>
        <v>85</v>
      </c>
      <c r="H36" s="115">
        <f>G36*F36</f>
        <v>850</v>
      </c>
    </row>
    <row r="37" spans="2:20">
      <c r="B37" s="93" t="s">
        <v>140</v>
      </c>
      <c r="C37" s="130"/>
      <c r="D37" s="131"/>
      <c r="E37" s="82">
        <f>'App5. Data for tables'!$C$55</f>
        <v>100</v>
      </c>
      <c r="F37" s="116">
        <f t="shared" si="0"/>
        <v>10</v>
      </c>
      <c r="G37" s="115">
        <f t="shared" ref="G37" si="6">E37</f>
        <v>100</v>
      </c>
      <c r="H37" s="115">
        <f>G37*F37</f>
        <v>1000</v>
      </c>
    </row>
    <row r="38" spans="2:20">
      <c r="B38" s="93" t="s">
        <v>67</v>
      </c>
      <c r="C38" s="115"/>
      <c r="D38" s="132"/>
      <c r="E38" s="80">
        <f>'App5. Data for tables'!$C$56</f>
        <v>120</v>
      </c>
      <c r="F38" s="116">
        <f t="shared" si="0"/>
        <v>10</v>
      </c>
      <c r="G38" s="115">
        <f t="shared" si="5"/>
        <v>120</v>
      </c>
      <c r="H38" s="115">
        <f>F38*G38</f>
        <v>1200</v>
      </c>
      <c r="I38" s="128"/>
    </row>
    <row r="39" spans="2:20">
      <c r="B39" s="93" t="s">
        <v>71</v>
      </c>
      <c r="C39" s="115"/>
      <c r="D39" s="132"/>
      <c r="E39" s="80">
        <f>'App5. Data for tables'!$C$57</f>
        <v>145</v>
      </c>
      <c r="F39" s="116">
        <f t="shared" si="0"/>
        <v>10</v>
      </c>
      <c r="G39" s="115">
        <f t="shared" si="5"/>
        <v>145</v>
      </c>
      <c r="H39" s="115">
        <f>F39*G39</f>
        <v>1450</v>
      </c>
      <c r="I39" s="133"/>
    </row>
    <row r="40" spans="2:20" ht="18">
      <c r="B40" s="92" t="s">
        <v>224</v>
      </c>
      <c r="C40" s="134"/>
      <c r="D40" s="135"/>
      <c r="E40" s="80">
        <f>'App5. Data for tables'!$C$59</f>
        <v>300</v>
      </c>
      <c r="F40" s="116">
        <f>$L$5</f>
        <v>10</v>
      </c>
      <c r="G40" s="115">
        <f t="shared" si="5"/>
        <v>300</v>
      </c>
      <c r="H40" s="130">
        <f>F40*G40</f>
        <v>3000</v>
      </c>
    </row>
    <row r="41" spans="2:20" ht="6" customHeight="1">
      <c r="B41" s="94"/>
      <c r="C41" s="130"/>
      <c r="D41" s="131"/>
      <c r="E41" s="130"/>
      <c r="F41" s="136"/>
      <c r="G41" s="130"/>
      <c r="H41" s="130"/>
    </row>
    <row r="42" spans="2:20">
      <c r="B42" s="88" t="s">
        <v>2</v>
      </c>
      <c r="C42" s="137"/>
      <c r="D42" s="115"/>
      <c r="E42" s="115"/>
      <c r="F42" s="138"/>
      <c r="G42" s="115"/>
      <c r="H42" s="115"/>
      <c r="I42" s="138"/>
      <c r="J42" s="115"/>
      <c r="K42" s="115"/>
      <c r="L42" s="138"/>
      <c r="M42" s="115"/>
      <c r="N42" s="115"/>
      <c r="O42" s="139"/>
      <c r="P42" s="115"/>
      <c r="Q42" s="115"/>
      <c r="R42" s="139"/>
      <c r="S42" s="115"/>
      <c r="T42" s="115"/>
    </row>
    <row r="43" spans="2:20" ht="18">
      <c r="B43" s="49" t="s">
        <v>214</v>
      </c>
      <c r="C43" s="77"/>
      <c r="D43" s="116"/>
      <c r="E43" s="122">
        <f>('App5. Data for tables'!$D$24*'App5. Data for tables'!$D$25)+('App5. Data for tables'!$D$26*'App5. Data for tables'!$D$27)</f>
        <v>338</v>
      </c>
      <c r="F43" s="116">
        <f t="shared" ref="F43:F60" si="7">$L$5</f>
        <v>10</v>
      </c>
      <c r="G43" s="115">
        <f t="shared" ref="G43" si="8">E43</f>
        <v>338</v>
      </c>
      <c r="H43" s="115">
        <f t="shared" ref="H43:H55" si="9">G43*F43</f>
        <v>3380</v>
      </c>
      <c r="I43" s="157"/>
      <c r="J43" s="135"/>
      <c r="K43" s="115"/>
      <c r="L43" s="125"/>
      <c r="M43" s="135"/>
      <c r="N43" s="115"/>
      <c r="O43" s="125"/>
      <c r="P43" s="135"/>
      <c r="Q43" s="115"/>
      <c r="R43" s="125"/>
      <c r="S43" s="135"/>
      <c r="T43" s="115"/>
    </row>
    <row r="44" spans="2:20" ht="18">
      <c r="B44" s="49" t="s">
        <v>215</v>
      </c>
      <c r="C44" s="144"/>
      <c r="D44" s="143"/>
      <c r="E44" s="122">
        <f>('App5. Data for tables'!$D$28*'App5. Data for tables'!$D$29)</f>
        <v>221</v>
      </c>
      <c r="F44" s="116">
        <f t="shared" si="7"/>
        <v>10</v>
      </c>
      <c r="G44" s="115">
        <f>E44</f>
        <v>221</v>
      </c>
      <c r="H44" s="54">
        <f>G44*F44</f>
        <v>2210</v>
      </c>
      <c r="I44" s="157"/>
    </row>
    <row r="45" spans="2:20" ht="18">
      <c r="B45" s="49" t="s">
        <v>216</v>
      </c>
      <c r="C45" s="140"/>
      <c r="D45" s="115"/>
      <c r="E45" s="77"/>
      <c r="F45" s="116">
        <f t="shared" si="7"/>
        <v>10</v>
      </c>
      <c r="G45" s="54">
        <f>SUM(E46:E47)</f>
        <v>609</v>
      </c>
      <c r="H45" s="54">
        <f t="shared" si="9"/>
        <v>6090</v>
      </c>
      <c r="I45" s="120"/>
      <c r="K45" s="125"/>
      <c r="N45" s="125"/>
      <c r="Q45" s="125"/>
      <c r="T45" s="125"/>
    </row>
    <row r="46" spans="2:20">
      <c r="B46" s="62" t="s">
        <v>78</v>
      </c>
      <c r="C46" s="140"/>
      <c r="D46" s="115"/>
      <c r="E46" s="80">
        <f>'App5. Data for tables'!$D$30</f>
        <v>525</v>
      </c>
      <c r="F46" s="116"/>
      <c r="G46" s="54"/>
      <c r="H46" s="54"/>
      <c r="I46" s="156"/>
      <c r="K46" s="125"/>
      <c r="N46" s="125"/>
      <c r="Q46" s="125"/>
      <c r="T46" s="125"/>
    </row>
    <row r="47" spans="2:20" ht="18">
      <c r="B47" s="62" t="s">
        <v>217</v>
      </c>
      <c r="C47" s="140"/>
      <c r="D47" s="115"/>
      <c r="E47" s="80">
        <f>('App5. Data for tables'!$D$31*'App5. Data for tables'!$D$32)</f>
        <v>84</v>
      </c>
      <c r="F47" s="116"/>
      <c r="G47" s="54"/>
      <c r="H47" s="54"/>
      <c r="I47" s="156"/>
      <c r="K47" s="125"/>
      <c r="N47" s="125"/>
      <c r="Q47" s="125"/>
      <c r="T47" s="125"/>
    </row>
    <row r="48" spans="2:20" ht="18">
      <c r="B48" s="49" t="s">
        <v>218</v>
      </c>
      <c r="C48" s="77"/>
      <c r="D48" s="121"/>
      <c r="E48" s="122"/>
      <c r="F48" s="116">
        <f t="shared" si="7"/>
        <v>10</v>
      </c>
      <c r="G48" s="54">
        <f>SUM(E49:E50)</f>
        <v>320</v>
      </c>
      <c r="H48" s="54">
        <f t="shared" si="9"/>
        <v>3200</v>
      </c>
      <c r="I48" s="141"/>
      <c r="J48" s="135"/>
      <c r="K48" s="115"/>
      <c r="L48" s="134"/>
      <c r="M48" s="135"/>
      <c r="N48" s="115"/>
      <c r="O48" s="134"/>
      <c r="P48" s="135"/>
      <c r="Q48" s="115"/>
      <c r="R48" s="134"/>
      <c r="S48" s="135"/>
      <c r="T48" s="115"/>
    </row>
    <row r="49" spans="2:20">
      <c r="B49" s="62" t="s">
        <v>78</v>
      </c>
      <c r="C49" s="140"/>
      <c r="D49" s="115"/>
      <c r="E49" s="80">
        <f>'App5. Data for tables'!$D$33</f>
        <v>320</v>
      </c>
      <c r="F49" s="116"/>
      <c r="G49" s="54"/>
      <c r="H49" s="54"/>
      <c r="I49" s="156"/>
      <c r="K49" s="125"/>
      <c r="N49" s="125"/>
      <c r="Q49" s="125"/>
      <c r="T49" s="125"/>
    </row>
    <row r="50" spans="2:20" ht="18">
      <c r="B50" s="62" t="s">
        <v>227</v>
      </c>
      <c r="C50" s="140"/>
      <c r="D50" s="115"/>
      <c r="E50" s="80">
        <f>('App5. Data for tables'!$D$34*'App5. Data for tables'!$D$35)</f>
        <v>0</v>
      </c>
      <c r="F50" s="116"/>
      <c r="G50" s="54"/>
      <c r="H50" s="54"/>
      <c r="I50" s="156"/>
      <c r="K50" s="125"/>
      <c r="N50" s="125"/>
      <c r="Q50" s="125"/>
      <c r="T50" s="125"/>
    </row>
    <row r="51" spans="2:20" ht="18">
      <c r="B51" s="161" t="s">
        <v>221</v>
      </c>
      <c r="C51" s="77"/>
      <c r="D51" s="121"/>
      <c r="E51" s="122">
        <f>'App5. Data for tables'!$D$54</f>
        <v>125</v>
      </c>
      <c r="F51" s="116">
        <f t="shared" si="7"/>
        <v>10</v>
      </c>
      <c r="G51" s="115">
        <f t="shared" ref="G51:G60" si="10">E51</f>
        <v>125</v>
      </c>
      <c r="H51" s="54">
        <f t="shared" si="9"/>
        <v>1250</v>
      </c>
      <c r="R51" s="134"/>
      <c r="S51" s="135"/>
      <c r="T51" s="115"/>
    </row>
    <row r="52" spans="2:20">
      <c r="B52" s="92" t="s">
        <v>172</v>
      </c>
      <c r="C52" s="77"/>
      <c r="D52" s="121"/>
      <c r="E52" s="122">
        <f>'App5. Data for tables'!$D$36</f>
        <v>155</v>
      </c>
      <c r="F52" s="116">
        <f t="shared" si="7"/>
        <v>10</v>
      </c>
      <c r="G52" s="115">
        <f>E52</f>
        <v>155</v>
      </c>
      <c r="H52" s="115">
        <f t="shared" si="9"/>
        <v>1550</v>
      </c>
      <c r="I52" s="81"/>
    </row>
    <row r="53" spans="2:20">
      <c r="B53" s="93" t="s">
        <v>15</v>
      </c>
      <c r="C53" s="130"/>
      <c r="D53" s="131"/>
      <c r="E53" s="82">
        <f>'App5. Data for tables'!$D$37</f>
        <v>180</v>
      </c>
      <c r="F53" s="116">
        <f t="shared" si="7"/>
        <v>10</v>
      </c>
      <c r="G53" s="115">
        <f t="shared" si="10"/>
        <v>180</v>
      </c>
      <c r="H53" s="54">
        <f t="shared" si="9"/>
        <v>1800</v>
      </c>
    </row>
    <row r="54" spans="2:20" ht="18">
      <c r="B54" s="93" t="s">
        <v>201</v>
      </c>
      <c r="C54" s="130"/>
      <c r="D54" s="131"/>
      <c r="E54" s="82">
        <f>('App5. Data for tables'!$D$38*'App5. Data for tables'!$D$39)</f>
        <v>140</v>
      </c>
      <c r="F54" s="116">
        <f t="shared" si="7"/>
        <v>10</v>
      </c>
      <c r="G54" s="115">
        <f>E54</f>
        <v>140</v>
      </c>
      <c r="H54" s="54">
        <f t="shared" ref="H54" si="11">G54*F54</f>
        <v>1400</v>
      </c>
    </row>
    <row r="55" spans="2:20" ht="18">
      <c r="B55" s="93" t="s">
        <v>222</v>
      </c>
      <c r="C55" s="130"/>
      <c r="D55" s="131"/>
      <c r="E55" s="82">
        <f>SUM('App5. Data for tables'!$D$47:$D$51)</f>
        <v>197</v>
      </c>
      <c r="F55" s="116">
        <f t="shared" si="7"/>
        <v>10</v>
      </c>
      <c r="G55" s="115">
        <f t="shared" si="10"/>
        <v>197</v>
      </c>
      <c r="H55" s="54">
        <f t="shared" si="9"/>
        <v>1970</v>
      </c>
      <c r="T55" s="136"/>
    </row>
    <row r="56" spans="2:20" ht="18">
      <c r="B56" s="93" t="s">
        <v>223</v>
      </c>
      <c r="C56" s="130"/>
      <c r="D56" s="131"/>
      <c r="E56" s="82">
        <f>'App5. Data for tables'!$D$52</f>
        <v>95</v>
      </c>
      <c r="F56" s="116">
        <f t="shared" si="7"/>
        <v>10</v>
      </c>
      <c r="G56" s="115">
        <f t="shared" si="10"/>
        <v>95</v>
      </c>
      <c r="H56" s="54">
        <f>G56*F56</f>
        <v>950</v>
      </c>
      <c r="T56" s="136"/>
    </row>
    <row r="57" spans="2:20">
      <c r="B57" s="93" t="s">
        <v>140</v>
      </c>
      <c r="C57" s="130"/>
      <c r="D57" s="131"/>
      <c r="E57" s="82">
        <f>'App5. Data for tables'!$D$55</f>
        <v>100</v>
      </c>
      <c r="F57" s="116">
        <f t="shared" si="7"/>
        <v>10</v>
      </c>
      <c r="G57" s="115">
        <f t="shared" si="10"/>
        <v>100</v>
      </c>
      <c r="H57" s="115">
        <f>G57*F57</f>
        <v>1000</v>
      </c>
    </row>
    <row r="58" spans="2:20">
      <c r="B58" s="93" t="s">
        <v>67</v>
      </c>
      <c r="C58" s="115"/>
      <c r="D58" s="132"/>
      <c r="E58" s="80">
        <f>'App5. Data for tables'!$D$56</f>
        <v>120</v>
      </c>
      <c r="F58" s="116">
        <f t="shared" si="7"/>
        <v>10</v>
      </c>
      <c r="G58" s="115">
        <f t="shared" si="10"/>
        <v>120</v>
      </c>
      <c r="H58" s="54">
        <f>F58*G58</f>
        <v>1200</v>
      </c>
    </row>
    <row r="59" spans="2:20">
      <c r="B59" s="93" t="s">
        <v>71</v>
      </c>
      <c r="C59" s="115"/>
      <c r="D59" s="132"/>
      <c r="E59" s="80">
        <f>'App5. Data for tables'!$D$57</f>
        <v>145</v>
      </c>
      <c r="F59" s="116">
        <f t="shared" si="7"/>
        <v>10</v>
      </c>
      <c r="G59" s="115">
        <f t="shared" si="10"/>
        <v>145</v>
      </c>
      <c r="H59" s="54">
        <f>F59*G59</f>
        <v>1450</v>
      </c>
    </row>
    <row r="60" spans="2:20" ht="18">
      <c r="B60" s="92" t="s">
        <v>224</v>
      </c>
      <c r="C60" s="134"/>
      <c r="D60" s="135"/>
      <c r="E60" s="80">
        <f>'App5. Data for tables'!$C$59</f>
        <v>300</v>
      </c>
      <c r="F60" s="116">
        <f t="shared" si="7"/>
        <v>10</v>
      </c>
      <c r="G60" s="115">
        <f t="shared" si="10"/>
        <v>300</v>
      </c>
      <c r="H60" s="55">
        <f>F60*G60</f>
        <v>3000</v>
      </c>
    </row>
    <row r="61" spans="2:20" ht="8.4499999999999993" customHeight="1">
      <c r="C61" s="115"/>
      <c r="D61" s="115"/>
      <c r="E61" s="125"/>
      <c r="F61" s="125"/>
      <c r="G61" s="54"/>
      <c r="H61" s="54"/>
    </row>
    <row r="62" spans="2:20">
      <c r="B62" s="88" t="s">
        <v>3</v>
      </c>
      <c r="C62" s="115"/>
      <c r="D62" s="115"/>
      <c r="E62" s="125"/>
      <c r="F62" s="142"/>
      <c r="G62" s="54"/>
      <c r="H62" s="54"/>
    </row>
    <row r="63" spans="2:20" ht="18">
      <c r="B63" s="49" t="s">
        <v>214</v>
      </c>
      <c r="C63" s="77"/>
      <c r="D63" s="143"/>
      <c r="E63" s="122">
        <f>('App5. Data for tables'!$E$24*'App5. Data for tables'!$E$25)+('App5. Data for tables'!$E$26*'App5. Data for tables'!$E$27)</f>
        <v>390</v>
      </c>
      <c r="F63" s="116">
        <f>$L$5</f>
        <v>10</v>
      </c>
      <c r="G63" s="115">
        <f t="shared" ref="G63:G64" si="12">E63</f>
        <v>390</v>
      </c>
      <c r="H63" s="54">
        <f t="shared" ref="H63:H78" si="13">G63*F63</f>
        <v>3900</v>
      </c>
      <c r="I63" s="157"/>
    </row>
    <row r="64" spans="2:20" ht="18">
      <c r="B64" s="49" t="s">
        <v>215</v>
      </c>
      <c r="C64" s="144"/>
      <c r="D64" s="143"/>
      <c r="E64" s="122">
        <f>('App5. Data for tables'!$E$28*'App5. Data for tables'!$E$29)</f>
        <v>221</v>
      </c>
      <c r="F64" s="116">
        <f t="shared" ref="F64:F102" si="14">$L$5</f>
        <v>10</v>
      </c>
      <c r="G64" s="115">
        <f t="shared" si="12"/>
        <v>221</v>
      </c>
      <c r="H64" s="54">
        <f t="shared" si="13"/>
        <v>2210</v>
      </c>
      <c r="I64" s="157"/>
    </row>
    <row r="65" spans="2:20" ht="18">
      <c r="B65" s="49" t="s">
        <v>216</v>
      </c>
      <c r="C65" s="124"/>
      <c r="D65" s="115"/>
      <c r="E65" s="80"/>
      <c r="F65" s="116">
        <f t="shared" si="14"/>
        <v>10</v>
      </c>
      <c r="G65" s="54">
        <f>SUM(E66:E67)</f>
        <v>735</v>
      </c>
      <c r="H65" s="54">
        <f t="shared" si="13"/>
        <v>7350</v>
      </c>
      <c r="I65" s="154"/>
    </row>
    <row r="66" spans="2:20">
      <c r="B66" s="62" t="s">
        <v>78</v>
      </c>
      <c r="C66" s="140"/>
      <c r="D66" s="115"/>
      <c r="E66" s="80">
        <f>'App5. Data for tables'!$E$30</f>
        <v>525</v>
      </c>
      <c r="F66" s="116"/>
      <c r="G66" s="54"/>
      <c r="H66" s="54"/>
      <c r="I66" s="156"/>
      <c r="K66" s="125"/>
      <c r="N66" s="125"/>
      <c r="Q66" s="125"/>
      <c r="T66" s="125"/>
    </row>
    <row r="67" spans="2:20" ht="18">
      <c r="B67" s="62" t="s">
        <v>217</v>
      </c>
      <c r="C67" s="140"/>
      <c r="D67" s="115"/>
      <c r="E67" s="80">
        <f>('App5. Data for tables'!$E$31*'App5. Data for tables'!$E$32)</f>
        <v>210</v>
      </c>
      <c r="F67" s="116"/>
      <c r="G67" s="54"/>
      <c r="H67" s="54"/>
      <c r="I67" s="156"/>
      <c r="K67" s="125"/>
      <c r="N67" s="125"/>
      <c r="Q67" s="125"/>
      <c r="T67" s="125"/>
    </row>
    <row r="68" spans="2:20" ht="18">
      <c r="B68" s="49" t="s">
        <v>218</v>
      </c>
      <c r="C68" s="77"/>
      <c r="D68" s="121"/>
      <c r="E68" s="122"/>
      <c r="F68" s="116">
        <f t="shared" si="14"/>
        <v>10</v>
      </c>
      <c r="G68" s="54">
        <f>SUM(E69:E70)</f>
        <v>348</v>
      </c>
      <c r="H68" s="54">
        <f t="shared" si="13"/>
        <v>3480</v>
      </c>
      <c r="I68" s="154"/>
    </row>
    <row r="69" spans="2:20">
      <c r="B69" s="62" t="s">
        <v>78</v>
      </c>
      <c r="C69" s="140"/>
      <c r="D69" s="115"/>
      <c r="E69" s="80">
        <f>'App5. Data for tables'!$E$33</f>
        <v>320</v>
      </c>
      <c r="F69" s="116"/>
      <c r="G69" s="54"/>
      <c r="H69" s="54"/>
      <c r="I69" s="156"/>
      <c r="K69" s="125"/>
      <c r="N69" s="125"/>
      <c r="Q69" s="125"/>
      <c r="T69" s="125"/>
    </row>
    <row r="70" spans="2:20" ht="18">
      <c r="B70" s="62" t="s">
        <v>227</v>
      </c>
      <c r="C70" s="140"/>
      <c r="D70" s="115"/>
      <c r="E70" s="80">
        <f>('App5. Data for tables'!$E$34*'App5. Data for tables'!$E$35)</f>
        <v>28</v>
      </c>
      <c r="F70" s="116"/>
      <c r="G70" s="54"/>
      <c r="H70" s="54"/>
      <c r="I70" s="156"/>
      <c r="K70" s="125"/>
      <c r="N70" s="125"/>
      <c r="Q70" s="125"/>
      <c r="T70" s="125"/>
    </row>
    <row r="71" spans="2:20">
      <c r="B71" s="49" t="s">
        <v>13</v>
      </c>
      <c r="C71" s="82">
        <f>'App5. Data for tables'!$E$40</f>
        <v>55</v>
      </c>
      <c r="D71" s="145">
        <f>'App5. Data for tables'!$E$41</f>
        <v>1</v>
      </c>
      <c r="E71" s="130">
        <f>$C$71*$D$71</f>
        <v>55</v>
      </c>
      <c r="F71" s="116">
        <f t="shared" si="14"/>
        <v>10</v>
      </c>
      <c r="G71" s="115">
        <f t="shared" ref="G71:G86" si="15">E71</f>
        <v>55</v>
      </c>
      <c r="H71" s="55">
        <f t="shared" si="13"/>
        <v>550</v>
      </c>
      <c r="I71" s="83"/>
    </row>
    <row r="72" spans="2:20" ht="18">
      <c r="B72" s="161" t="s">
        <v>221</v>
      </c>
      <c r="C72" s="77"/>
      <c r="D72" s="121"/>
      <c r="E72" s="122">
        <f>'App5. Data for tables'!$E$54</f>
        <v>300</v>
      </c>
      <c r="F72" s="116">
        <f t="shared" si="14"/>
        <v>10</v>
      </c>
      <c r="G72" s="115">
        <f t="shared" si="15"/>
        <v>300</v>
      </c>
      <c r="H72" s="54">
        <f t="shared" si="13"/>
        <v>3000</v>
      </c>
    </row>
    <row r="73" spans="2:20">
      <c r="B73" s="92" t="s">
        <v>172</v>
      </c>
      <c r="C73" s="77"/>
      <c r="D73" s="121"/>
      <c r="E73" s="122">
        <f>'App5. Data for tables'!$E$36</f>
        <v>155</v>
      </c>
      <c r="F73" s="116">
        <f t="shared" si="14"/>
        <v>10</v>
      </c>
      <c r="G73" s="115">
        <f>E73</f>
        <v>155</v>
      </c>
      <c r="H73" s="115">
        <f t="shared" si="13"/>
        <v>1550</v>
      </c>
      <c r="I73" s="81"/>
    </row>
    <row r="74" spans="2:20">
      <c r="B74" s="93" t="s">
        <v>15</v>
      </c>
      <c r="C74" s="129"/>
      <c r="D74" s="140"/>
      <c r="E74" s="82">
        <f>'App5. Data for tables'!$E$37</f>
        <v>180</v>
      </c>
      <c r="F74" s="116">
        <f t="shared" si="14"/>
        <v>10</v>
      </c>
      <c r="G74" s="115">
        <f t="shared" si="15"/>
        <v>180</v>
      </c>
      <c r="H74" s="54">
        <f t="shared" si="13"/>
        <v>1800</v>
      </c>
    </row>
    <row r="75" spans="2:20" ht="18">
      <c r="B75" s="93" t="s">
        <v>201</v>
      </c>
      <c r="C75" s="129"/>
      <c r="D75" s="140"/>
      <c r="E75" s="82">
        <f>('App5. Data for tables'!$E$38*'App5. Data for tables'!$E$39)</f>
        <v>140</v>
      </c>
      <c r="F75" s="116">
        <f t="shared" si="14"/>
        <v>10</v>
      </c>
      <c r="G75" s="115">
        <f t="shared" si="15"/>
        <v>140</v>
      </c>
      <c r="H75" s="54">
        <f t="shared" ref="H75" si="16">G75*F75</f>
        <v>1400</v>
      </c>
    </row>
    <row r="76" spans="2:20" ht="18">
      <c r="B76" s="93" t="s">
        <v>225</v>
      </c>
      <c r="C76" s="80"/>
      <c r="D76" s="146"/>
      <c r="E76" s="82">
        <f>'App5. Data for tables'!$E$42+('App5. Data for tables'!$E$43*'App5. Data for tables'!$E$44)</f>
        <v>4128.96</v>
      </c>
      <c r="F76" s="116">
        <f t="shared" si="14"/>
        <v>10</v>
      </c>
      <c r="G76" s="115">
        <f>E76</f>
        <v>4128.96</v>
      </c>
      <c r="H76" s="115">
        <f>G76*F76</f>
        <v>41289.599999999999</v>
      </c>
      <c r="I76" s="84"/>
    </row>
    <row r="77" spans="2:20" ht="18">
      <c r="B77" s="93" t="s">
        <v>226</v>
      </c>
      <c r="C77" s="129"/>
      <c r="D77" s="129"/>
      <c r="E77" s="82">
        <f>('App5. Data for tables'!$E$45*'App5. Data for tables'!$E$46)</f>
        <v>5.6000000000000005</v>
      </c>
      <c r="F77" s="116">
        <f t="shared" si="14"/>
        <v>10</v>
      </c>
      <c r="G77" s="115">
        <f t="shared" ref="G77" si="17">E77</f>
        <v>5.6000000000000005</v>
      </c>
      <c r="H77" s="115">
        <f>G77*F77</f>
        <v>56.000000000000007</v>
      </c>
      <c r="J77" s="118"/>
    </row>
    <row r="78" spans="2:20" ht="18">
      <c r="B78" s="93" t="s">
        <v>222</v>
      </c>
      <c r="C78" s="129"/>
      <c r="D78" s="140"/>
      <c r="E78" s="82">
        <f>SUM('App5. Data for tables'!$E$47:$E$51)</f>
        <v>197</v>
      </c>
      <c r="F78" s="116">
        <f t="shared" si="14"/>
        <v>10</v>
      </c>
      <c r="G78" s="115">
        <f t="shared" si="15"/>
        <v>197</v>
      </c>
      <c r="H78" s="54">
        <f t="shared" si="13"/>
        <v>1970</v>
      </c>
      <c r="I78" s="84"/>
    </row>
    <row r="79" spans="2:20" ht="18">
      <c r="B79" s="93" t="s">
        <v>223</v>
      </c>
      <c r="C79" s="129"/>
      <c r="D79" s="140"/>
      <c r="E79" s="82">
        <f>'App5. Data for tables'!$E$52</f>
        <v>125</v>
      </c>
      <c r="F79" s="116">
        <f t="shared" si="14"/>
        <v>10</v>
      </c>
      <c r="G79" s="115">
        <f t="shared" si="15"/>
        <v>125</v>
      </c>
      <c r="H79" s="54">
        <f>G79*F79</f>
        <v>1250</v>
      </c>
      <c r="I79" s="84"/>
    </row>
    <row r="80" spans="2:20">
      <c r="B80" s="93" t="s">
        <v>140</v>
      </c>
      <c r="C80" s="130"/>
      <c r="D80" s="131"/>
      <c r="E80" s="82">
        <f>'App5. Data for tables'!$E$55</f>
        <v>100</v>
      </c>
      <c r="F80" s="116">
        <f t="shared" si="14"/>
        <v>10</v>
      </c>
      <c r="G80" s="115">
        <f t="shared" si="15"/>
        <v>100</v>
      </c>
      <c r="H80" s="115">
        <f>G80*F80</f>
        <v>1000</v>
      </c>
    </row>
    <row r="81" spans="2:20">
      <c r="B81" s="93" t="s">
        <v>67</v>
      </c>
      <c r="C81" s="115"/>
      <c r="D81" s="115"/>
      <c r="E81" s="80">
        <f>'App5. Data for tables'!$E$56</f>
        <v>120</v>
      </c>
      <c r="F81" s="116">
        <f t="shared" si="14"/>
        <v>10</v>
      </c>
      <c r="G81" s="115">
        <f t="shared" si="15"/>
        <v>120</v>
      </c>
      <c r="H81" s="115">
        <f>F81*G81</f>
        <v>1200</v>
      </c>
    </row>
    <row r="82" spans="2:20">
      <c r="B82" s="93" t="s">
        <v>71</v>
      </c>
      <c r="C82" s="115"/>
      <c r="D82" s="115"/>
      <c r="E82" s="80">
        <f>'App5. Data for tables'!$E$57</f>
        <v>145</v>
      </c>
      <c r="F82" s="116">
        <f t="shared" si="14"/>
        <v>10</v>
      </c>
      <c r="G82" s="115">
        <f t="shared" si="15"/>
        <v>145</v>
      </c>
      <c r="H82" s="115">
        <f>F82*G82</f>
        <v>1450</v>
      </c>
      <c r="I82" s="84"/>
    </row>
    <row r="83" spans="2:20">
      <c r="B83" s="93" t="s">
        <v>180</v>
      </c>
      <c r="C83" s="115"/>
      <c r="D83" s="115"/>
      <c r="E83" s="80">
        <f>'App5. Data for tables'!$E$58</f>
        <v>190</v>
      </c>
      <c r="F83" s="116">
        <f t="shared" si="14"/>
        <v>10</v>
      </c>
      <c r="G83" s="115">
        <f t="shared" ref="G83" si="18">E83</f>
        <v>190</v>
      </c>
      <c r="H83" s="115">
        <f>F83*G83</f>
        <v>1900</v>
      </c>
      <c r="I83" s="84"/>
    </row>
    <row r="84" spans="2:20" ht="18">
      <c r="B84" s="92" t="s">
        <v>228</v>
      </c>
      <c r="C84" s="115"/>
      <c r="D84" s="115"/>
      <c r="E84" s="80">
        <f>'App5. Data for tables'!$E$59</f>
        <v>300</v>
      </c>
      <c r="F84" s="116">
        <f t="shared" si="14"/>
        <v>10</v>
      </c>
      <c r="G84" s="115">
        <f t="shared" si="15"/>
        <v>300</v>
      </c>
      <c r="H84" s="130">
        <f>F84*G84</f>
        <v>3000</v>
      </c>
      <c r="I84" s="84"/>
    </row>
    <row r="85" spans="2:20">
      <c r="B85" s="75" t="s">
        <v>72</v>
      </c>
      <c r="C85" s="115"/>
      <c r="D85" s="115"/>
      <c r="E85" s="125"/>
      <c r="F85" s="142"/>
      <c r="G85" s="115"/>
      <c r="H85" s="115"/>
    </row>
    <row r="86" spans="2:20">
      <c r="B86" s="76" t="s">
        <v>32</v>
      </c>
      <c r="C86" s="80">
        <f>'App5. Data for tables'!$E$53</f>
        <v>60</v>
      </c>
      <c r="D86" s="182">
        <f>'App5. Data for tables'!$E$4</f>
        <v>10</v>
      </c>
      <c r="E86" s="54">
        <f>C86*D86</f>
        <v>600</v>
      </c>
      <c r="F86" s="116">
        <f>$L$5</f>
        <v>10</v>
      </c>
      <c r="G86" s="115">
        <f t="shared" si="15"/>
        <v>600</v>
      </c>
      <c r="H86" s="54">
        <f>F86*G86</f>
        <v>6000</v>
      </c>
      <c r="I86" s="84"/>
    </row>
    <row r="87" spans="2:20" ht="8.4499999999999993" customHeight="1">
      <c r="B87" s="96"/>
      <c r="C87" s="140"/>
      <c r="D87" s="147"/>
      <c r="E87" s="54"/>
      <c r="F87" s="116"/>
      <c r="G87" s="54"/>
      <c r="H87" s="54"/>
      <c r="I87" s="85"/>
      <c r="J87" s="118"/>
    </row>
    <row r="88" spans="2:20">
      <c r="B88" s="97" t="s">
        <v>4</v>
      </c>
      <c r="C88" s="140"/>
      <c r="D88" s="115"/>
      <c r="E88" s="125"/>
      <c r="F88" s="142"/>
      <c r="G88" s="54"/>
      <c r="H88" s="54"/>
      <c r="I88" s="85"/>
      <c r="J88" s="118"/>
    </row>
    <row r="89" spans="2:20" ht="18">
      <c r="B89" s="49" t="s">
        <v>214</v>
      </c>
      <c r="C89" s="77"/>
      <c r="D89" s="148"/>
      <c r="E89" s="122">
        <f>('App5. Data for tables'!$F$24*'App5. Data for tables'!$F$25)+('App5. Data for tables'!$F$26*'App5. Data for tables'!$F$27)</f>
        <v>299</v>
      </c>
      <c r="F89" s="116">
        <f t="shared" ref="F89:F109" si="19">$L$5</f>
        <v>10</v>
      </c>
      <c r="G89" s="115">
        <f t="shared" ref="G89:G90" si="20">E89</f>
        <v>299</v>
      </c>
      <c r="H89" s="54">
        <f t="shared" ref="H89:H103" si="21">G89*F89</f>
        <v>2990</v>
      </c>
      <c r="I89" s="154"/>
      <c r="J89" s="118"/>
    </row>
    <row r="90" spans="2:20" ht="18">
      <c r="B90" s="49" t="s">
        <v>215</v>
      </c>
      <c r="C90" s="77"/>
      <c r="D90" s="148"/>
      <c r="E90" s="122">
        <f>('App5. Data for tables'!$F$28*'App5. Data for tables'!$F$29)</f>
        <v>442</v>
      </c>
      <c r="F90" s="116">
        <f t="shared" si="19"/>
        <v>10</v>
      </c>
      <c r="G90" s="115">
        <f t="shared" si="20"/>
        <v>442</v>
      </c>
      <c r="H90" s="54">
        <f t="shared" si="21"/>
        <v>4420</v>
      </c>
      <c r="I90" s="154"/>
      <c r="J90" s="118"/>
      <c r="M90" s="84"/>
    </row>
    <row r="91" spans="2:20" ht="18">
      <c r="B91" s="49" t="s">
        <v>216</v>
      </c>
      <c r="C91" s="140"/>
      <c r="D91" s="115"/>
      <c r="E91" s="80"/>
      <c r="F91" s="116">
        <f t="shared" si="19"/>
        <v>10</v>
      </c>
      <c r="G91" s="54">
        <f>SUM(E92:E93)</f>
        <v>940</v>
      </c>
      <c r="H91" s="54">
        <f t="shared" si="21"/>
        <v>9400</v>
      </c>
      <c r="I91" s="158"/>
      <c r="J91" s="118"/>
    </row>
    <row r="92" spans="2:20">
      <c r="B92" s="62" t="s">
        <v>78</v>
      </c>
      <c r="C92" s="140"/>
      <c r="D92" s="115"/>
      <c r="E92" s="80">
        <f>'App5. Data for tables'!$F$30</f>
        <v>730</v>
      </c>
      <c r="F92" s="116"/>
      <c r="G92" s="54"/>
      <c r="H92" s="54"/>
      <c r="I92" s="156"/>
      <c r="K92" s="125"/>
      <c r="N92" s="125"/>
      <c r="Q92" s="125"/>
      <c r="T92" s="125"/>
    </row>
    <row r="93" spans="2:20" ht="18">
      <c r="B93" s="62" t="s">
        <v>217</v>
      </c>
      <c r="C93" s="140"/>
      <c r="D93" s="115"/>
      <c r="E93" s="80">
        <f>('App5. Data for tables'!$F$31*'App5. Data for tables'!$F$32)</f>
        <v>210</v>
      </c>
      <c r="F93" s="116"/>
      <c r="G93" s="54"/>
      <c r="H93" s="54"/>
      <c r="I93" s="156"/>
      <c r="K93" s="125"/>
      <c r="N93" s="125"/>
      <c r="Q93" s="125"/>
      <c r="T93" s="125"/>
    </row>
    <row r="94" spans="2:20" ht="18">
      <c r="B94" s="49" t="s">
        <v>218</v>
      </c>
      <c r="C94" s="77"/>
      <c r="D94" s="121"/>
      <c r="E94" s="122"/>
      <c r="F94" s="116">
        <f t="shared" si="19"/>
        <v>10</v>
      </c>
      <c r="G94" s="54">
        <f>SUM(E95:E96)</f>
        <v>348</v>
      </c>
      <c r="H94" s="54">
        <f t="shared" si="21"/>
        <v>3480</v>
      </c>
      <c r="I94" s="158"/>
      <c r="J94" s="118"/>
    </row>
    <row r="95" spans="2:20">
      <c r="B95" s="62" t="s">
        <v>78</v>
      </c>
      <c r="C95" s="140"/>
      <c r="D95" s="115"/>
      <c r="E95" s="80">
        <f>'App5. Data for tables'!$F$33</f>
        <v>320</v>
      </c>
      <c r="F95" s="116"/>
      <c r="G95" s="54"/>
      <c r="H95" s="54"/>
      <c r="I95" s="156"/>
      <c r="K95" s="125"/>
      <c r="N95" s="125"/>
      <c r="Q95" s="125"/>
      <c r="T95" s="125"/>
    </row>
    <row r="96" spans="2:20" ht="18">
      <c r="B96" s="62" t="s">
        <v>220</v>
      </c>
      <c r="C96" s="140"/>
      <c r="D96" s="115"/>
      <c r="E96" s="80">
        <f>('App5. Data for tables'!$F$34*'App5. Data for tables'!$F$35)</f>
        <v>28</v>
      </c>
      <c r="F96" s="116"/>
      <c r="G96" s="54"/>
      <c r="H96" s="54"/>
      <c r="I96" s="156"/>
      <c r="K96" s="125"/>
      <c r="N96" s="125"/>
      <c r="Q96" s="125"/>
      <c r="T96" s="125"/>
    </row>
    <row r="97" spans="2:10">
      <c r="B97" s="49" t="s">
        <v>13</v>
      </c>
      <c r="C97" s="82">
        <f>'App5. Data for tables'!$F$40</f>
        <v>55</v>
      </c>
      <c r="D97" s="145">
        <f>'App5. Data for tables'!$F$41</f>
        <v>1</v>
      </c>
      <c r="E97" s="130">
        <f>$C$97*$D$97</f>
        <v>55</v>
      </c>
      <c r="F97" s="116">
        <f t="shared" si="19"/>
        <v>10</v>
      </c>
      <c r="G97" s="115">
        <f t="shared" ref="G97:G111" si="22">E97</f>
        <v>55</v>
      </c>
      <c r="H97" s="55">
        <f t="shared" si="21"/>
        <v>550</v>
      </c>
      <c r="I97" s="85"/>
      <c r="J97" s="118"/>
    </row>
    <row r="98" spans="2:10" ht="18">
      <c r="B98" s="92" t="s">
        <v>221</v>
      </c>
      <c r="C98" s="77"/>
      <c r="D98" s="121"/>
      <c r="E98" s="122">
        <f>'App5. Data for tables'!$F$54</f>
        <v>300</v>
      </c>
      <c r="F98" s="116">
        <f t="shared" si="19"/>
        <v>10</v>
      </c>
      <c r="G98" s="115">
        <f t="shared" si="22"/>
        <v>300</v>
      </c>
      <c r="H98" s="54">
        <f t="shared" si="21"/>
        <v>3000</v>
      </c>
      <c r="I98" s="86"/>
      <c r="J98" s="118"/>
    </row>
    <row r="99" spans="2:10">
      <c r="B99" s="92" t="s">
        <v>172</v>
      </c>
      <c r="C99" s="77"/>
      <c r="D99" s="121"/>
      <c r="E99" s="82">
        <f>'App5. Data for tables'!$F$36</f>
        <v>155</v>
      </c>
      <c r="F99" s="116">
        <f t="shared" si="19"/>
        <v>10</v>
      </c>
      <c r="G99" s="115">
        <f t="shared" ref="G99" si="23">E99</f>
        <v>155</v>
      </c>
      <c r="H99" s="54">
        <f t="shared" ref="H99" si="24">G99*F99</f>
        <v>1550</v>
      </c>
      <c r="I99" s="86"/>
      <c r="J99" s="118"/>
    </row>
    <row r="100" spans="2:10">
      <c r="B100" s="93" t="s">
        <v>15</v>
      </c>
      <c r="C100" s="129"/>
      <c r="D100" s="129"/>
      <c r="E100" s="82">
        <f>'App5. Data for tables'!$F$37</f>
        <v>180</v>
      </c>
      <c r="F100" s="116">
        <f t="shared" si="19"/>
        <v>10</v>
      </c>
      <c r="G100" s="115">
        <f t="shared" si="22"/>
        <v>180</v>
      </c>
      <c r="H100" s="54">
        <f t="shared" si="21"/>
        <v>1800</v>
      </c>
      <c r="I100" s="85"/>
      <c r="J100" s="118"/>
    </row>
    <row r="101" spans="2:10" ht="18">
      <c r="B101" s="93" t="s">
        <v>201</v>
      </c>
      <c r="C101" s="129"/>
      <c r="D101" s="129"/>
      <c r="E101" s="82">
        <f>('App5. Data for tables'!$F$38*'App5. Data for tables'!$F$39)</f>
        <v>140</v>
      </c>
      <c r="F101" s="116">
        <f t="shared" si="19"/>
        <v>10</v>
      </c>
      <c r="G101" s="115">
        <f t="shared" si="22"/>
        <v>140</v>
      </c>
      <c r="H101" s="54">
        <f t="shared" ref="H101" si="25">G101*F101</f>
        <v>1400</v>
      </c>
      <c r="I101" s="85"/>
      <c r="J101" s="118"/>
    </row>
    <row r="102" spans="2:10" ht="18">
      <c r="B102" s="93" t="s">
        <v>226</v>
      </c>
      <c r="C102" s="129"/>
      <c r="D102" s="129"/>
      <c r="E102" s="82">
        <f>('App5. Data for tables'!$F$45*'App5. Data for tables'!$F$46)</f>
        <v>5.6000000000000005</v>
      </c>
      <c r="F102" s="116">
        <f t="shared" si="14"/>
        <v>10</v>
      </c>
      <c r="G102" s="115">
        <f t="shared" si="22"/>
        <v>5.6000000000000005</v>
      </c>
      <c r="H102" s="115">
        <f>G102*F102</f>
        <v>56.000000000000007</v>
      </c>
      <c r="J102" s="118"/>
    </row>
    <row r="103" spans="2:10" ht="18">
      <c r="B103" s="93" t="s">
        <v>222</v>
      </c>
      <c r="C103" s="129"/>
      <c r="D103" s="129"/>
      <c r="E103" s="82">
        <f>SUM('App5. Data for tables'!$F$47:$F$51)</f>
        <v>206.5</v>
      </c>
      <c r="F103" s="116">
        <f t="shared" si="19"/>
        <v>10</v>
      </c>
      <c r="G103" s="115">
        <f t="shared" si="22"/>
        <v>206.5</v>
      </c>
      <c r="H103" s="54">
        <f t="shared" si="21"/>
        <v>2065</v>
      </c>
      <c r="J103" s="118"/>
    </row>
    <row r="104" spans="2:10" ht="18">
      <c r="B104" s="93" t="s">
        <v>223</v>
      </c>
      <c r="C104" s="129"/>
      <c r="D104" s="129"/>
      <c r="E104" s="82">
        <f>'App5. Data for tables'!$F$52</f>
        <v>180</v>
      </c>
      <c r="F104" s="116">
        <f t="shared" si="19"/>
        <v>10</v>
      </c>
      <c r="G104" s="115">
        <f t="shared" si="22"/>
        <v>180</v>
      </c>
      <c r="H104" s="54">
        <f>G104*F104</f>
        <v>1800</v>
      </c>
      <c r="J104" s="118"/>
    </row>
    <row r="105" spans="2:10">
      <c r="B105" s="93" t="s">
        <v>140</v>
      </c>
      <c r="C105" s="130"/>
      <c r="D105" s="131"/>
      <c r="E105" s="82">
        <f>'App5. Data for tables'!$F$55</f>
        <v>100</v>
      </c>
      <c r="F105" s="116">
        <f t="shared" si="19"/>
        <v>10</v>
      </c>
      <c r="G105" s="115">
        <f t="shared" si="22"/>
        <v>100</v>
      </c>
      <c r="H105" s="115">
        <f>G105*F105</f>
        <v>1000</v>
      </c>
    </row>
    <row r="106" spans="2:10">
      <c r="B106" s="93" t="s">
        <v>67</v>
      </c>
      <c r="C106" s="129"/>
      <c r="D106" s="129"/>
      <c r="E106" s="80">
        <f>'App5. Data for tables'!$F$56</f>
        <v>120</v>
      </c>
      <c r="F106" s="116">
        <f t="shared" si="19"/>
        <v>10</v>
      </c>
      <c r="G106" s="115">
        <f t="shared" si="22"/>
        <v>120</v>
      </c>
      <c r="H106" s="54">
        <f>F106*G106</f>
        <v>1200</v>
      </c>
    </row>
    <row r="107" spans="2:10">
      <c r="B107" s="93" t="s">
        <v>71</v>
      </c>
      <c r="C107" s="129"/>
      <c r="D107" s="129"/>
      <c r="E107" s="80">
        <f>'App5. Data for tables'!$F$57</f>
        <v>145</v>
      </c>
      <c r="F107" s="116">
        <f t="shared" si="19"/>
        <v>10</v>
      </c>
      <c r="G107" s="115">
        <f t="shared" si="22"/>
        <v>145</v>
      </c>
      <c r="H107" s="54">
        <f>F107*G107</f>
        <v>1450</v>
      </c>
    </row>
    <row r="108" spans="2:10">
      <c r="B108" s="93" t="s">
        <v>180</v>
      </c>
      <c r="C108" s="115"/>
      <c r="D108" s="115"/>
      <c r="E108" s="80">
        <f>'App5. Data for tables'!$F$58</f>
        <v>190</v>
      </c>
      <c r="F108" s="116">
        <f t="shared" si="19"/>
        <v>10</v>
      </c>
      <c r="G108" s="115">
        <f t="shared" si="22"/>
        <v>190</v>
      </c>
      <c r="H108" s="115">
        <f>F108*G108</f>
        <v>1900</v>
      </c>
      <c r="I108" s="84"/>
    </row>
    <row r="109" spans="2:10" ht="18">
      <c r="B109" s="92" t="s">
        <v>224</v>
      </c>
      <c r="C109" s="129"/>
      <c r="D109" s="129"/>
      <c r="E109" s="80">
        <f>'App5. Data for tables'!$F$59</f>
        <v>300</v>
      </c>
      <c r="F109" s="116">
        <f t="shared" si="19"/>
        <v>10</v>
      </c>
      <c r="G109" s="115">
        <f t="shared" si="22"/>
        <v>300</v>
      </c>
      <c r="H109" s="55">
        <f>F109*G109</f>
        <v>3000</v>
      </c>
    </row>
    <row r="110" spans="2:10">
      <c r="B110" s="75" t="s">
        <v>72</v>
      </c>
      <c r="C110" s="129"/>
      <c r="D110" s="122"/>
      <c r="E110" s="125"/>
      <c r="F110" s="142"/>
      <c r="G110" s="54"/>
      <c r="H110" s="54"/>
    </row>
    <row r="111" spans="2:10">
      <c r="B111" s="76" t="s">
        <v>32</v>
      </c>
      <c r="C111" s="80">
        <f>'App5. Data for tables'!$F$53</f>
        <v>60</v>
      </c>
      <c r="D111" s="182">
        <f>'App5. Data for tables'!$F$4</f>
        <v>30</v>
      </c>
      <c r="E111" s="54">
        <f>C111*D111</f>
        <v>1800</v>
      </c>
      <c r="F111" s="116">
        <f>$L$5</f>
        <v>10</v>
      </c>
      <c r="G111" s="115">
        <f t="shared" si="22"/>
        <v>1800</v>
      </c>
      <c r="H111" s="54">
        <f>F111*G111</f>
        <v>18000</v>
      </c>
    </row>
    <row r="112" spans="2:10" ht="8.4499999999999993" customHeight="1">
      <c r="B112" s="96"/>
      <c r="C112" s="140"/>
      <c r="D112" s="122"/>
      <c r="E112" s="125"/>
      <c r="F112" s="142"/>
      <c r="G112" s="54"/>
      <c r="H112" s="54"/>
    </row>
    <row r="113" spans="2:20">
      <c r="B113" s="88" t="s">
        <v>28</v>
      </c>
      <c r="C113" s="140"/>
      <c r="D113" s="122"/>
      <c r="E113" s="125"/>
      <c r="F113" s="142"/>
      <c r="G113" s="54"/>
      <c r="H113" s="54"/>
    </row>
    <row r="114" spans="2:20" ht="18">
      <c r="B114" s="49" t="s">
        <v>214</v>
      </c>
      <c r="C114" s="77"/>
      <c r="D114" s="148"/>
      <c r="E114" s="122">
        <f>('App5. Data for tables'!$G$24*'App5. Data for tables'!$G$25)+('App5. Data for tables'!$G$26*'App5. Data for tables'!$G$27)</f>
        <v>429</v>
      </c>
      <c r="F114" s="116">
        <f>$L$5</f>
        <v>10</v>
      </c>
      <c r="G114" s="115">
        <f t="shared" ref="G114:G115" si="26">E114</f>
        <v>429</v>
      </c>
      <c r="H114" s="54">
        <f t="shared" ref="H114:H128" si="27">G114*F114</f>
        <v>4290</v>
      </c>
    </row>
    <row r="115" spans="2:20" ht="18">
      <c r="B115" s="49" t="s">
        <v>215</v>
      </c>
      <c r="C115" s="77"/>
      <c r="D115" s="148"/>
      <c r="E115" s="122">
        <f>('App5. Data for tables'!$G$28*'App5. Data for tables'!$G$29)</f>
        <v>650</v>
      </c>
      <c r="F115" s="116">
        <f t="shared" ref="F115:F134" si="28">$L$5</f>
        <v>10</v>
      </c>
      <c r="G115" s="115">
        <f t="shared" si="26"/>
        <v>650</v>
      </c>
      <c r="H115" s="54">
        <f t="shared" si="27"/>
        <v>6500</v>
      </c>
    </row>
    <row r="116" spans="2:20" ht="18">
      <c r="B116" s="49" t="s">
        <v>216</v>
      </c>
      <c r="C116" s="140"/>
      <c r="D116" s="115"/>
      <c r="E116" s="80"/>
      <c r="F116" s="116">
        <f t="shared" si="28"/>
        <v>10</v>
      </c>
      <c r="G116" s="54">
        <f>SUM(E117:E118)</f>
        <v>1150</v>
      </c>
      <c r="H116" s="54">
        <f t="shared" si="27"/>
        <v>11500</v>
      </c>
    </row>
    <row r="117" spans="2:20">
      <c r="B117" s="62" t="s">
        <v>78</v>
      </c>
      <c r="C117" s="140"/>
      <c r="D117" s="115"/>
      <c r="E117" s="80">
        <f>'App5. Data for tables'!$G$30</f>
        <v>940</v>
      </c>
      <c r="F117" s="116"/>
      <c r="G117" s="54"/>
      <c r="H117" s="54"/>
      <c r="I117" s="156"/>
      <c r="K117" s="125"/>
      <c r="N117" s="125"/>
      <c r="Q117" s="125"/>
      <c r="T117" s="125"/>
    </row>
    <row r="118" spans="2:20" ht="18">
      <c r="B118" s="62" t="s">
        <v>217</v>
      </c>
      <c r="C118" s="140"/>
      <c r="D118" s="115"/>
      <c r="E118" s="80">
        <f>('App5. Data for tables'!$G$31*'App5. Data for tables'!$G$32)</f>
        <v>210</v>
      </c>
      <c r="F118" s="116"/>
      <c r="G118" s="54"/>
      <c r="H118" s="54"/>
      <c r="I118" s="156"/>
      <c r="K118" s="125"/>
      <c r="N118" s="125"/>
      <c r="Q118" s="125"/>
      <c r="T118" s="125"/>
    </row>
    <row r="119" spans="2:20" ht="18">
      <c r="B119" s="49" t="s">
        <v>218</v>
      </c>
      <c r="C119" s="77"/>
      <c r="D119" s="121"/>
      <c r="E119" s="122"/>
      <c r="F119" s="116">
        <f t="shared" si="28"/>
        <v>10</v>
      </c>
      <c r="G119" s="54">
        <f>SUM(E120:E121)</f>
        <v>348</v>
      </c>
      <c r="H119" s="54">
        <f t="shared" si="27"/>
        <v>3480</v>
      </c>
    </row>
    <row r="120" spans="2:20">
      <c r="B120" s="62" t="s">
        <v>78</v>
      </c>
      <c r="C120" s="140"/>
      <c r="D120" s="115"/>
      <c r="E120" s="80">
        <f>'App5. Data for tables'!$G$33</f>
        <v>320</v>
      </c>
      <c r="F120" s="116"/>
      <c r="G120" s="54"/>
      <c r="H120" s="54"/>
      <c r="I120" s="156"/>
      <c r="K120" s="125"/>
      <c r="N120" s="125"/>
      <c r="Q120" s="125"/>
      <c r="T120" s="125"/>
    </row>
    <row r="121" spans="2:20" ht="18">
      <c r="B121" s="62" t="s">
        <v>220</v>
      </c>
      <c r="C121" s="140"/>
      <c r="D121" s="115"/>
      <c r="E121" s="80">
        <f>('App5. Data for tables'!$G$34*'App5. Data for tables'!$G$35)</f>
        <v>28</v>
      </c>
      <c r="F121" s="116"/>
      <c r="G121" s="54"/>
      <c r="H121" s="54"/>
      <c r="I121" s="156"/>
      <c r="K121" s="125"/>
      <c r="N121" s="125"/>
      <c r="Q121" s="125"/>
      <c r="T121" s="125"/>
    </row>
    <row r="122" spans="2:20">
      <c r="B122" s="49" t="s">
        <v>13</v>
      </c>
      <c r="C122" s="82">
        <f>'App5. Data for tables'!$G$40</f>
        <v>55</v>
      </c>
      <c r="D122" s="145">
        <f>'App5. Data for tables'!$G$41</f>
        <v>1</v>
      </c>
      <c r="E122" s="130">
        <f>$C$122*$D$122</f>
        <v>55</v>
      </c>
      <c r="F122" s="116">
        <f t="shared" si="28"/>
        <v>10</v>
      </c>
      <c r="G122" s="130">
        <f t="shared" ref="G122:G136" si="29">E122</f>
        <v>55</v>
      </c>
      <c r="H122" s="130">
        <f t="shared" si="27"/>
        <v>550</v>
      </c>
    </row>
    <row r="123" spans="2:20" ht="18">
      <c r="B123" s="161" t="s">
        <v>221</v>
      </c>
      <c r="C123" s="77"/>
      <c r="D123" s="121"/>
      <c r="E123" s="122">
        <f>'App5. Data for tables'!$G$54</f>
        <v>300</v>
      </c>
      <c r="F123" s="116">
        <f t="shared" si="28"/>
        <v>10</v>
      </c>
      <c r="G123" s="130">
        <f t="shared" si="29"/>
        <v>300</v>
      </c>
      <c r="H123" s="115">
        <f t="shared" si="27"/>
        <v>3000</v>
      </c>
    </row>
    <row r="124" spans="2:20">
      <c r="B124" s="92" t="s">
        <v>172</v>
      </c>
      <c r="C124" s="77"/>
      <c r="D124" s="121"/>
      <c r="E124" s="82">
        <f>'App5. Data for tables'!$G$36</f>
        <v>155</v>
      </c>
      <c r="F124" s="116">
        <f t="shared" si="28"/>
        <v>10</v>
      </c>
      <c r="G124" s="115">
        <f t="shared" si="29"/>
        <v>155</v>
      </c>
      <c r="H124" s="54">
        <f t="shared" si="27"/>
        <v>1550</v>
      </c>
      <c r="I124" s="86"/>
      <c r="J124" s="118"/>
    </row>
    <row r="125" spans="2:20">
      <c r="B125" s="93" t="s">
        <v>15</v>
      </c>
      <c r="C125" s="140"/>
      <c r="D125" s="115"/>
      <c r="E125" s="82">
        <f>'App5. Data for tables'!$G$37</f>
        <v>180</v>
      </c>
      <c r="F125" s="116">
        <f t="shared" si="28"/>
        <v>10</v>
      </c>
      <c r="G125" s="130">
        <f t="shared" si="29"/>
        <v>180</v>
      </c>
      <c r="H125" s="115">
        <f t="shared" si="27"/>
        <v>1800</v>
      </c>
    </row>
    <row r="126" spans="2:20" ht="18">
      <c r="B126" s="93" t="s">
        <v>201</v>
      </c>
      <c r="C126" s="140"/>
      <c r="D126" s="115"/>
      <c r="E126" s="82">
        <f>('App5. Data for tables'!$G$38*'App5. Data for tables'!$G$39)</f>
        <v>140</v>
      </c>
      <c r="F126" s="116">
        <f t="shared" si="28"/>
        <v>10</v>
      </c>
      <c r="G126" s="130">
        <f t="shared" si="29"/>
        <v>140</v>
      </c>
      <c r="H126" s="115">
        <f t="shared" ref="H126:H127" si="30">G126*F126</f>
        <v>1400</v>
      </c>
    </row>
    <row r="127" spans="2:20" ht="18">
      <c r="B127" s="93" t="s">
        <v>226</v>
      </c>
      <c r="C127" s="140"/>
      <c r="D127" s="115"/>
      <c r="E127" s="82">
        <f>('App5. Data for tables'!$G$45*'App5. Data for tables'!$G$46)</f>
        <v>5.6000000000000005</v>
      </c>
      <c r="F127" s="116">
        <f t="shared" si="28"/>
        <v>10</v>
      </c>
      <c r="G127" s="130">
        <f t="shared" si="29"/>
        <v>5.6000000000000005</v>
      </c>
      <c r="H127" s="115">
        <f t="shared" si="30"/>
        <v>56.000000000000007</v>
      </c>
    </row>
    <row r="128" spans="2:20" ht="18">
      <c r="B128" s="93" t="s">
        <v>222</v>
      </c>
      <c r="C128" s="140"/>
      <c r="D128" s="115"/>
      <c r="E128" s="82">
        <f>SUM('App5. Data for tables'!$G$47:$G$51)</f>
        <v>206.5</v>
      </c>
      <c r="F128" s="116">
        <f t="shared" si="28"/>
        <v>10</v>
      </c>
      <c r="G128" s="130">
        <f t="shared" si="29"/>
        <v>206.5</v>
      </c>
      <c r="H128" s="115">
        <f t="shared" si="27"/>
        <v>2065</v>
      </c>
    </row>
    <row r="129" spans="2:9" ht="18">
      <c r="B129" s="93" t="s">
        <v>223</v>
      </c>
      <c r="C129" s="140"/>
      <c r="D129" s="115"/>
      <c r="E129" s="82">
        <f>'App5. Data for tables'!$G$52</f>
        <v>180</v>
      </c>
      <c r="F129" s="116">
        <f t="shared" si="28"/>
        <v>10</v>
      </c>
      <c r="G129" s="130">
        <f t="shared" si="29"/>
        <v>180</v>
      </c>
      <c r="H129" s="115">
        <f>G129*F129</f>
        <v>1800</v>
      </c>
    </row>
    <row r="130" spans="2:9">
      <c r="B130" s="93" t="s">
        <v>140</v>
      </c>
      <c r="C130" s="130"/>
      <c r="D130" s="131"/>
      <c r="E130" s="82">
        <f>'App5. Data for tables'!$G$55</f>
        <v>100</v>
      </c>
      <c r="F130" s="116">
        <f t="shared" si="28"/>
        <v>10</v>
      </c>
      <c r="G130" s="115">
        <f t="shared" si="29"/>
        <v>100</v>
      </c>
      <c r="H130" s="115">
        <f>G130*F130</f>
        <v>1000</v>
      </c>
    </row>
    <row r="131" spans="2:9">
      <c r="B131" s="93" t="s">
        <v>67</v>
      </c>
      <c r="C131" s="140"/>
      <c r="D131" s="115"/>
      <c r="E131" s="80">
        <f>'App5. Data for tables'!$G$56</f>
        <v>120</v>
      </c>
      <c r="F131" s="116">
        <f t="shared" si="28"/>
        <v>10</v>
      </c>
      <c r="G131" s="130">
        <f t="shared" si="29"/>
        <v>120</v>
      </c>
      <c r="H131" s="115">
        <f>F131*G131</f>
        <v>1200</v>
      </c>
    </row>
    <row r="132" spans="2:9">
      <c r="B132" s="93" t="s">
        <v>71</v>
      </c>
      <c r="C132" s="140"/>
      <c r="D132" s="115"/>
      <c r="E132" s="80">
        <f>'App5. Data for tables'!$G$57</f>
        <v>145</v>
      </c>
      <c r="F132" s="116">
        <f t="shared" si="28"/>
        <v>10</v>
      </c>
      <c r="G132" s="130">
        <f t="shared" si="29"/>
        <v>145</v>
      </c>
      <c r="H132" s="115">
        <f>F132*G132</f>
        <v>1450</v>
      </c>
    </row>
    <row r="133" spans="2:9">
      <c r="B133" s="93" t="s">
        <v>180</v>
      </c>
      <c r="C133" s="115"/>
      <c r="D133" s="115"/>
      <c r="E133" s="80">
        <f>'App5. Data for tables'!$G$58</f>
        <v>190</v>
      </c>
      <c r="F133" s="116">
        <f t="shared" si="28"/>
        <v>10</v>
      </c>
      <c r="G133" s="115">
        <f t="shared" si="29"/>
        <v>190</v>
      </c>
      <c r="H133" s="115">
        <f>F133*G133</f>
        <v>1900</v>
      </c>
      <c r="I133" s="84"/>
    </row>
    <row r="134" spans="2:9" ht="18">
      <c r="B134" s="92" t="s">
        <v>224</v>
      </c>
      <c r="C134" s="140"/>
      <c r="D134" s="115"/>
      <c r="E134" s="80">
        <f>'App5. Data for tables'!$G$59</f>
        <v>300</v>
      </c>
      <c r="F134" s="116">
        <f t="shared" si="28"/>
        <v>10</v>
      </c>
      <c r="G134" s="130">
        <f t="shared" si="29"/>
        <v>300</v>
      </c>
      <c r="H134" s="130">
        <f>F134*G134</f>
        <v>3000</v>
      </c>
    </row>
    <row r="135" spans="2:9">
      <c r="B135" s="75" t="s">
        <v>72</v>
      </c>
      <c r="C135" s="140"/>
      <c r="D135" s="115"/>
      <c r="E135" s="125"/>
      <c r="F135" s="142"/>
      <c r="G135" s="130"/>
      <c r="H135" s="115"/>
    </row>
    <row r="136" spans="2:9">
      <c r="B136" s="357" t="s">
        <v>32</v>
      </c>
      <c r="C136" s="358">
        <f>'App5. Data for tables'!$G$53</f>
        <v>60</v>
      </c>
      <c r="D136" s="359">
        <f>'App5. Data for tables'!$G$4</f>
        <v>40</v>
      </c>
      <c r="E136" s="360">
        <f>C136*D136</f>
        <v>2400</v>
      </c>
      <c r="F136" s="361">
        <f>$L$5</f>
        <v>10</v>
      </c>
      <c r="G136" s="362">
        <f t="shared" si="29"/>
        <v>2400</v>
      </c>
      <c r="H136" s="360">
        <f>F136*G136</f>
        <v>24000</v>
      </c>
    </row>
    <row r="137" spans="2:9">
      <c r="B137" s="69" t="s">
        <v>231</v>
      </c>
      <c r="C137" s="149"/>
      <c r="G137" s="104"/>
    </row>
    <row r="138" spans="2:9">
      <c r="B138" s="69" t="s">
        <v>230</v>
      </c>
      <c r="C138" s="149"/>
      <c r="G138" s="104"/>
    </row>
    <row r="139" spans="2:9">
      <c r="B139" s="69" t="s">
        <v>345</v>
      </c>
      <c r="C139" s="149"/>
      <c r="G139" s="104"/>
    </row>
    <row r="140" spans="2:9">
      <c r="B140" s="69" t="s">
        <v>229</v>
      </c>
      <c r="G140" s="104"/>
    </row>
    <row r="141" spans="2:9">
      <c r="B141" s="69" t="s">
        <v>346</v>
      </c>
      <c r="G141" s="104"/>
    </row>
    <row r="142" spans="2:9">
      <c r="B142" s="69" t="s">
        <v>232</v>
      </c>
      <c r="G142" s="104"/>
    </row>
    <row r="143" spans="2:9">
      <c r="B143" s="69" t="s">
        <v>233</v>
      </c>
      <c r="G143" s="104"/>
    </row>
    <row r="144" spans="2:9">
      <c r="B144" s="69" t="s">
        <v>234</v>
      </c>
      <c r="G144" s="104"/>
    </row>
    <row r="145" spans="2:7">
      <c r="B145" s="69" t="s">
        <v>235</v>
      </c>
      <c r="G145" s="104"/>
    </row>
    <row r="146" spans="2:7">
      <c r="B146" s="69" t="s">
        <v>236</v>
      </c>
      <c r="G146" s="104"/>
    </row>
    <row r="147" spans="2:7">
      <c r="B147" s="69" t="s">
        <v>237</v>
      </c>
      <c r="G147" s="104"/>
    </row>
    <row r="148" spans="2:7">
      <c r="B148" s="69" t="s">
        <v>347</v>
      </c>
    </row>
  </sheetData>
  <protectedRanges>
    <protectedRange sqref="C5:E136" name="Range2"/>
    <protectedRange sqref="L4:L6" name="Acres"/>
  </protectedRanges>
  <mergeCells count="1">
    <mergeCell ref="B2:H2"/>
  </mergeCells>
  <phoneticPr fontId="21" type="noConversion"/>
  <pageMargins left="0.7" right="0.7" top="0.75" bottom="0.75" header="0.3" footer="0.3"/>
  <pageSetup orientation="portrait"/>
  <ignoredErrors>
    <ignoredError sqref="C13:C15 C134:E135 L4:L6 C78:D79 E66:E70 E105 C117:E121 E130 C136 E136 E22 E25:E30 E53:E60 E33:E43 C92:E96 C97:D97 C122:D122 C125:E129 E9:E16 E45:E51 C71:D72 C98:E98 E99 C123:E123 E124 C81:D82 C106:E107 E108 C131:E132 E133 C74:E75 C100:E104 C84:D86 C109:E111 E76:E84 E6:E8 E17:E20" unlockedFormula="1"/>
    <ignoredError sqref="G25" formulaRange="1"/>
  </ignoredError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dimension ref="B2:L35"/>
  <sheetViews>
    <sheetView workbookViewId="0"/>
  </sheetViews>
  <sheetFormatPr defaultColWidth="9.140625" defaultRowHeight="15"/>
  <cols>
    <col min="1" max="1" width="6.7109375" style="50" customWidth="1"/>
    <col min="2" max="2" width="44.7109375" style="50" customWidth="1"/>
    <col min="3" max="3" width="13.42578125" style="50" customWidth="1"/>
    <col min="4" max="4" width="12.7109375" style="50" customWidth="1"/>
    <col min="5" max="5" width="13.140625" style="50" customWidth="1"/>
    <col min="6" max="6" width="12.85546875" style="50" customWidth="1"/>
    <col min="7" max="8" width="14.42578125" style="50" customWidth="1"/>
    <col min="9" max="9" width="4.42578125" style="50" customWidth="1"/>
    <col min="10" max="10" width="10.140625" style="50" customWidth="1"/>
    <col min="11" max="11" width="10.7109375" style="50" customWidth="1"/>
    <col min="12" max="12" width="3.7109375" style="50" customWidth="1"/>
    <col min="13" max="16384" width="9.140625" style="50"/>
  </cols>
  <sheetData>
    <row r="2" spans="2:12" ht="18.75" customHeight="1">
      <c r="B2" s="451" t="s">
        <v>312</v>
      </c>
      <c r="C2" s="451"/>
      <c r="D2" s="451"/>
      <c r="E2" s="451"/>
      <c r="F2" s="451"/>
      <c r="G2" s="451"/>
      <c r="H2" s="451"/>
    </row>
    <row r="3" spans="2:12" ht="29.25">
      <c r="B3" s="87"/>
      <c r="C3" s="113" t="s">
        <v>35</v>
      </c>
      <c r="D3" s="113" t="s">
        <v>33</v>
      </c>
      <c r="E3" s="113" t="s">
        <v>36</v>
      </c>
      <c r="F3" s="113" t="s">
        <v>34</v>
      </c>
      <c r="G3" s="114" t="s">
        <v>37</v>
      </c>
      <c r="H3" s="114" t="s">
        <v>38</v>
      </c>
    </row>
    <row r="4" spans="2:12" ht="18">
      <c r="B4" s="49" t="s">
        <v>270</v>
      </c>
      <c r="C4" s="77"/>
      <c r="D4" s="148"/>
      <c r="E4" s="122">
        <f>('App5. Data for tables'!$H$24*'App5. Data for tables'!$H$25)+('App5. Data for tables'!$H$26*'App5. Data for tables'!$H$27)</f>
        <v>546</v>
      </c>
      <c r="F4" s="116">
        <f>$L$4</f>
        <v>10</v>
      </c>
      <c r="G4" s="54">
        <f>E4</f>
        <v>546</v>
      </c>
      <c r="H4" s="54">
        <f t="shared" ref="H4:H18" si="0">G4*F4</f>
        <v>5460</v>
      </c>
      <c r="J4" s="84" t="s">
        <v>63</v>
      </c>
      <c r="L4" s="177">
        <f>'App5. Data for tables'!$H$65</f>
        <v>10</v>
      </c>
    </row>
    <row r="5" spans="2:12" ht="18">
      <c r="B5" s="49" t="s">
        <v>271</v>
      </c>
      <c r="C5" s="77"/>
      <c r="D5" s="148"/>
      <c r="E5" s="122">
        <f>('App5. Data for tables'!$H$28*'App5. Data for tables'!$H$29)</f>
        <v>806</v>
      </c>
      <c r="F5" s="116">
        <f t="shared" ref="F5:F26" si="1">$L$4</f>
        <v>10</v>
      </c>
      <c r="G5" s="54">
        <f>E5</f>
        <v>806</v>
      </c>
      <c r="H5" s="54">
        <f t="shared" si="0"/>
        <v>8060</v>
      </c>
      <c r="L5" s="150"/>
    </row>
    <row r="6" spans="2:12" ht="18">
      <c r="B6" s="49" t="s">
        <v>272</v>
      </c>
      <c r="C6" s="124"/>
      <c r="D6" s="148"/>
      <c r="E6" s="80"/>
      <c r="F6" s="116">
        <f t="shared" si="1"/>
        <v>10</v>
      </c>
      <c r="G6" s="54">
        <f>SUM(E7:E8)</f>
        <v>1178</v>
      </c>
      <c r="H6" s="54">
        <f t="shared" si="0"/>
        <v>11780</v>
      </c>
    </row>
    <row r="7" spans="2:12">
      <c r="B7" s="62" t="s">
        <v>78</v>
      </c>
      <c r="C7" s="124"/>
      <c r="D7" s="148"/>
      <c r="E7" s="80">
        <f>'App5. Data for tables'!$H$30</f>
        <v>940</v>
      </c>
      <c r="F7" s="116"/>
      <c r="G7" s="54"/>
      <c r="H7" s="54"/>
    </row>
    <row r="8" spans="2:12" ht="18">
      <c r="B8" s="62" t="s">
        <v>273</v>
      </c>
      <c r="C8" s="124"/>
      <c r="D8" s="148"/>
      <c r="E8" s="80">
        <f>('App5. Data for tables'!$H$31*'App5. Data for tables'!$H$32)</f>
        <v>238</v>
      </c>
      <c r="F8" s="116"/>
      <c r="G8" s="54"/>
      <c r="H8" s="54"/>
    </row>
    <row r="9" spans="2:12" ht="18">
      <c r="B9" s="49" t="s">
        <v>274</v>
      </c>
      <c r="C9" s="77"/>
      <c r="D9" s="121"/>
      <c r="E9" s="122"/>
      <c r="F9" s="116">
        <f t="shared" si="1"/>
        <v>10</v>
      </c>
      <c r="G9" s="54">
        <f>SUM(E10:E11)</f>
        <v>348</v>
      </c>
      <c r="H9" s="54">
        <f t="shared" si="0"/>
        <v>3480</v>
      </c>
    </row>
    <row r="10" spans="2:12">
      <c r="B10" s="62" t="s">
        <v>78</v>
      </c>
      <c r="C10" s="77"/>
      <c r="D10" s="121"/>
      <c r="E10" s="122">
        <f>'App5. Data for tables'!$H$33</f>
        <v>320</v>
      </c>
      <c r="F10" s="116"/>
      <c r="G10" s="54"/>
      <c r="H10" s="54"/>
    </row>
    <row r="11" spans="2:12" ht="18">
      <c r="B11" s="62" t="s">
        <v>273</v>
      </c>
      <c r="C11" s="77"/>
      <c r="D11" s="121"/>
      <c r="E11" s="122">
        <f>('App5. Data for tables'!$H$34*'App5. Data for tables'!$H$35)</f>
        <v>28</v>
      </c>
      <c r="F11" s="116"/>
      <c r="G11" s="54"/>
      <c r="H11" s="54"/>
    </row>
    <row r="12" spans="2:12">
      <c r="B12" s="49" t="s">
        <v>13</v>
      </c>
      <c r="C12" s="82">
        <f>'App5. Data for tables'!$H$40</f>
        <v>55</v>
      </c>
      <c r="D12" s="145">
        <f>'App5. Data for tables'!$H$41</f>
        <v>1</v>
      </c>
      <c r="E12" s="130">
        <f>$C$12*$D$12</f>
        <v>55</v>
      </c>
      <c r="F12" s="116">
        <f t="shared" si="1"/>
        <v>10</v>
      </c>
      <c r="G12" s="55">
        <f>E12</f>
        <v>55</v>
      </c>
      <c r="H12" s="55">
        <f t="shared" si="0"/>
        <v>550</v>
      </c>
    </row>
    <row r="13" spans="2:12" ht="18">
      <c r="B13" s="92" t="s">
        <v>275</v>
      </c>
      <c r="C13" s="77"/>
      <c r="D13" s="121"/>
      <c r="E13" s="122">
        <f>'App5. Data for tables'!$H$54</f>
        <v>300</v>
      </c>
      <c r="F13" s="116">
        <f t="shared" si="1"/>
        <v>10</v>
      </c>
      <c r="G13" s="55">
        <f t="shared" ref="G13:G26" si="2">E13</f>
        <v>300</v>
      </c>
      <c r="H13" s="54">
        <f t="shared" si="0"/>
        <v>3000</v>
      </c>
    </row>
    <row r="14" spans="2:12">
      <c r="B14" s="92" t="s">
        <v>172</v>
      </c>
      <c r="C14" s="77"/>
      <c r="D14" s="121"/>
      <c r="E14" s="122">
        <f>'App5. Data for tables'!$H$36</f>
        <v>155</v>
      </c>
      <c r="F14" s="116">
        <f t="shared" si="1"/>
        <v>10</v>
      </c>
      <c r="G14" s="55">
        <f t="shared" ref="G14" si="3">E14</f>
        <v>155</v>
      </c>
      <c r="H14" s="54">
        <f t="shared" ref="H14" si="4">G14*F14</f>
        <v>1550</v>
      </c>
    </row>
    <row r="15" spans="2:12">
      <c r="B15" s="93" t="s">
        <v>15</v>
      </c>
      <c r="C15" s="124"/>
      <c r="D15" s="115"/>
      <c r="E15" s="82">
        <f>'App5. Data for tables'!$H$37</f>
        <v>180</v>
      </c>
      <c r="F15" s="116">
        <f t="shared" si="1"/>
        <v>10</v>
      </c>
      <c r="G15" s="55">
        <f t="shared" si="2"/>
        <v>180</v>
      </c>
      <c r="H15" s="54">
        <f t="shared" si="0"/>
        <v>1800</v>
      </c>
    </row>
    <row r="16" spans="2:12" ht="18">
      <c r="B16" s="93" t="s">
        <v>276</v>
      </c>
      <c r="C16" s="124"/>
      <c r="D16" s="115"/>
      <c r="E16" s="82">
        <f>('App5. Data for tables'!$H$38*'App5. Data for tables'!$H$39)</f>
        <v>140</v>
      </c>
      <c r="F16" s="116">
        <f t="shared" si="1"/>
        <v>10</v>
      </c>
      <c r="G16" s="55">
        <f t="shared" si="2"/>
        <v>140</v>
      </c>
      <c r="H16" s="54">
        <f t="shared" ref="H16:H17" si="5">G16*F16</f>
        <v>1400</v>
      </c>
    </row>
    <row r="17" spans="2:9" ht="18">
      <c r="B17" s="93" t="s">
        <v>277</v>
      </c>
      <c r="C17" s="124"/>
      <c r="D17" s="115"/>
      <c r="E17" s="82">
        <f>('App5. Data for tables'!$H$45*'App5. Data for tables'!$H$46)</f>
        <v>5.6000000000000005</v>
      </c>
      <c r="F17" s="116">
        <f t="shared" si="1"/>
        <v>10</v>
      </c>
      <c r="G17" s="55">
        <f t="shared" si="2"/>
        <v>5.6000000000000005</v>
      </c>
      <c r="H17" s="54">
        <f t="shared" si="5"/>
        <v>56.000000000000007</v>
      </c>
    </row>
    <row r="18" spans="2:9" ht="18">
      <c r="B18" s="93" t="s">
        <v>278</v>
      </c>
      <c r="C18" s="124"/>
      <c r="D18" s="115"/>
      <c r="E18" s="82">
        <f>SUM('App5. Data for tables'!$H$47:$H$51)</f>
        <v>230.5</v>
      </c>
      <c r="F18" s="116">
        <f t="shared" si="1"/>
        <v>10</v>
      </c>
      <c r="G18" s="55">
        <f t="shared" si="2"/>
        <v>230.5</v>
      </c>
      <c r="H18" s="54">
        <f t="shared" si="0"/>
        <v>2305</v>
      </c>
    </row>
    <row r="19" spans="2:9" ht="18">
      <c r="B19" s="93" t="s">
        <v>279</v>
      </c>
      <c r="C19" s="124"/>
      <c r="D19" s="115"/>
      <c r="E19" s="82">
        <f>'App5. Data for tables'!$H$52</f>
        <v>180</v>
      </c>
      <c r="F19" s="116">
        <f t="shared" si="1"/>
        <v>10</v>
      </c>
      <c r="G19" s="55">
        <f t="shared" si="2"/>
        <v>180</v>
      </c>
      <c r="H19" s="54">
        <f>G19*F19</f>
        <v>1800</v>
      </c>
    </row>
    <row r="20" spans="2:9">
      <c r="B20" s="93" t="s">
        <v>140</v>
      </c>
      <c r="C20" s="130"/>
      <c r="D20" s="131"/>
      <c r="E20" s="82">
        <f>'App5. Data for tables'!$H$55</f>
        <v>100</v>
      </c>
      <c r="F20" s="116">
        <f t="shared" si="1"/>
        <v>10</v>
      </c>
      <c r="G20" s="115">
        <f t="shared" si="2"/>
        <v>100</v>
      </c>
      <c r="H20" s="115">
        <f>G20*F20</f>
        <v>1000</v>
      </c>
    </row>
    <row r="21" spans="2:9">
      <c r="B21" s="93" t="s">
        <v>67</v>
      </c>
      <c r="C21" s="124"/>
      <c r="D21" s="115"/>
      <c r="E21" s="80">
        <f>'App5. Data for tables'!$H$56</f>
        <v>120</v>
      </c>
      <c r="F21" s="116">
        <f t="shared" si="1"/>
        <v>10</v>
      </c>
      <c r="G21" s="55">
        <f t="shared" si="2"/>
        <v>120</v>
      </c>
      <c r="H21" s="54">
        <f>F21*G21</f>
        <v>1200</v>
      </c>
    </row>
    <row r="22" spans="2:9">
      <c r="B22" s="93" t="s">
        <v>71</v>
      </c>
      <c r="C22" s="124"/>
      <c r="D22" s="115"/>
      <c r="E22" s="80">
        <f>'App5. Data for tables'!$H$57</f>
        <v>145</v>
      </c>
      <c r="F22" s="116">
        <f t="shared" si="1"/>
        <v>10</v>
      </c>
      <c r="G22" s="55">
        <f t="shared" si="2"/>
        <v>145</v>
      </c>
      <c r="H22" s="54">
        <f>F22*G22</f>
        <v>1450</v>
      </c>
    </row>
    <row r="23" spans="2:9">
      <c r="B23" s="93" t="s">
        <v>180</v>
      </c>
      <c r="C23" s="115"/>
      <c r="D23" s="115"/>
      <c r="E23" s="80">
        <f>'App5. Data for tables'!$H$58</f>
        <v>190</v>
      </c>
      <c r="F23" s="116">
        <f t="shared" si="1"/>
        <v>10</v>
      </c>
      <c r="G23" s="55">
        <f t="shared" ref="G23" si="6">E23</f>
        <v>190</v>
      </c>
      <c r="H23" s="54">
        <f>F23*G23</f>
        <v>1900</v>
      </c>
      <c r="I23" s="84"/>
    </row>
    <row r="24" spans="2:9" ht="18">
      <c r="B24" s="92" t="s">
        <v>280</v>
      </c>
      <c r="C24" s="124"/>
      <c r="D24" s="115"/>
      <c r="E24" s="80">
        <f>'App5. Data for tables'!$H$59</f>
        <v>300</v>
      </c>
      <c r="F24" s="116">
        <f t="shared" si="1"/>
        <v>10</v>
      </c>
      <c r="G24" s="55">
        <f t="shared" si="2"/>
        <v>300</v>
      </c>
      <c r="H24" s="55">
        <f>F24*G24</f>
        <v>3000</v>
      </c>
    </row>
    <row r="25" spans="2:9">
      <c r="B25" s="75" t="s">
        <v>72</v>
      </c>
      <c r="C25" s="124"/>
      <c r="D25" s="142"/>
      <c r="E25" s="115"/>
      <c r="F25" s="116"/>
      <c r="G25" s="55"/>
      <c r="H25" s="54"/>
    </row>
    <row r="26" spans="2:9">
      <c r="B26" s="357" t="s">
        <v>32</v>
      </c>
      <c r="C26" s="358">
        <f>'App5. Data for tables'!$H$53</f>
        <v>60</v>
      </c>
      <c r="D26" s="359">
        <f>'App5. Data for tables'!$H$4</f>
        <v>50</v>
      </c>
      <c r="E26" s="360">
        <f>C26*D26</f>
        <v>3000</v>
      </c>
      <c r="F26" s="361">
        <f t="shared" si="1"/>
        <v>10</v>
      </c>
      <c r="G26" s="360">
        <f t="shared" si="2"/>
        <v>3000</v>
      </c>
      <c r="H26" s="360">
        <f>F26*G26</f>
        <v>30000</v>
      </c>
    </row>
    <row r="27" spans="2:9">
      <c r="B27" s="69" t="s">
        <v>348</v>
      </c>
      <c r="G27" s="120"/>
    </row>
    <row r="28" spans="2:9">
      <c r="B28" s="69" t="s">
        <v>281</v>
      </c>
      <c r="G28" s="120"/>
    </row>
    <row r="29" spans="2:9">
      <c r="B29" s="69" t="s">
        <v>349</v>
      </c>
      <c r="G29" s="120"/>
    </row>
    <row r="30" spans="2:9">
      <c r="B30" s="69" t="s">
        <v>282</v>
      </c>
      <c r="E30" s="151"/>
    </row>
    <row r="31" spans="2:9">
      <c r="B31" s="69" t="s">
        <v>283</v>
      </c>
    </row>
    <row r="32" spans="2:9">
      <c r="B32" s="69" t="s">
        <v>350</v>
      </c>
    </row>
    <row r="33" spans="2:2">
      <c r="B33" s="69" t="s">
        <v>284</v>
      </c>
    </row>
    <row r="34" spans="2:2">
      <c r="B34" s="69" t="s">
        <v>286</v>
      </c>
    </row>
    <row r="35" spans="2:2">
      <c r="B35" s="69" t="s">
        <v>285</v>
      </c>
    </row>
  </sheetData>
  <protectedRanges>
    <protectedRange sqref="C4:E19 C21:E22 C24:E26" name="Range2"/>
    <protectedRange sqref="L4" name="Acres"/>
    <protectedRange sqref="C20:E20" name="Range2_1"/>
    <protectedRange sqref="C23:E23" name="Range2_2"/>
  </protectedRanges>
  <mergeCells count="1">
    <mergeCell ref="B2:H2"/>
  </mergeCells>
  <phoneticPr fontId="21" type="noConversion"/>
  <pageMargins left="0.7" right="0.7" top="0.75" bottom="0.75" header="0.3" footer="0.3"/>
  <pageSetup orientation="portrait"/>
  <ignoredErrors>
    <ignoredError sqref="C24:E25 L4 C7:E11 E20 C26 E26 C12:D12 C15:E19 C13:E13 C21:E22 E23" unlockedFormula="1"/>
  </ignoredError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4</vt:i4>
      </vt:variant>
    </vt:vector>
  </HeadingPairs>
  <TitlesOfParts>
    <vt:vector size="17" baseType="lpstr">
      <vt:lpstr>Intro</vt:lpstr>
      <vt:lpstr>Cider Apple Budget</vt:lpstr>
      <vt:lpstr>Price &amp; Yield Analysis</vt:lpstr>
      <vt:lpstr>Capital Req.</vt:lpstr>
      <vt:lpstr>Mach. Equip. &amp; Build. Req.</vt:lpstr>
      <vt:lpstr>Int. Costs &amp; Depr.</vt:lpstr>
      <vt:lpstr>NPV&amp;PaybackPd Analysis</vt:lpstr>
      <vt:lpstr>App1. Estab Costs</vt:lpstr>
      <vt:lpstr>App2. Full Prod Costs</vt:lpstr>
      <vt:lpstr>App3. Salv Value &amp; Dep Costs</vt:lpstr>
      <vt:lpstr>App4. Amort Calc</vt:lpstr>
      <vt:lpstr>App5. Data for tables</vt:lpstr>
      <vt:lpstr>App6. NPV&amp;Payback Pd</vt:lpstr>
      <vt:lpstr>'App5. Data for tables'!Print_Area</vt:lpstr>
      <vt:lpstr>'Cider Apple Budget'!Print_Area</vt:lpstr>
      <vt:lpstr>Intro!Print_Area</vt:lpstr>
      <vt:lpstr>'Mach. Equip. &amp; Build. Req.'!Print_Area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2015-05-05T17:09:33Z</dcterms:created>
  <dcterms:modified xsi:type="dcterms:W3CDTF">2017-01-24T19:22:35Z</dcterms:modified>
</cp:coreProperties>
</file>