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autoCompressPictures="0" defaultThemeVersion="124226"/>
  <bookViews>
    <workbookView xWindow="-15" yWindow="-15" windowWidth="11520" windowHeight="12495"/>
  </bookViews>
  <sheets>
    <sheet name="Intro" sheetId="10" r:id="rId1"/>
    <sheet name="B2-Cider Apple Budget" sheetId="1" r:id="rId2"/>
    <sheet name="B3-Price &amp; Yield Analysis" sheetId="9" r:id="rId3"/>
    <sheet name="B4-Capital Req." sheetId="2" r:id="rId4"/>
    <sheet name="B5-Mach. Equip. &amp; Build. Req." sheetId="11" r:id="rId5"/>
    <sheet name="B6&amp;B7-Int. Costs &amp; Depr." sheetId="7" r:id="rId6"/>
    <sheet name="B8-Breakeven Return" sheetId="16" r:id="rId7"/>
    <sheet name="B9-Estab Costs" sheetId="3" r:id="rId8"/>
    <sheet name="B10-Full Prod Costs" sheetId="6" r:id="rId9"/>
    <sheet name="B11-Salv Value &amp; Dep Costs" sheetId="14" r:id="rId10"/>
    <sheet name="B12-Amort Calc" sheetId="8" r:id="rId11"/>
    <sheet name="B13-Data for tables" sheetId="13" r:id="rId12"/>
    <sheet name="B14-NPV&amp;Payback Pd" sheetId="15" r:id="rId13"/>
  </sheets>
  <definedNames>
    <definedName name="_xlnm.Print_Area" localSheetId="11">'B13-Data for tables'!$A$1:$H$52</definedName>
    <definedName name="_xlnm.Print_Area" localSheetId="1">'B2-Cider Apple Budget'!$B$2:$I$66</definedName>
    <definedName name="_xlnm.Print_Area" localSheetId="4">'B5-Mach. Equip. &amp; Build. Req.'!$B$2:$H$22</definedName>
    <definedName name="_xlnm.Print_Area" localSheetId="0">Intro!$B$2:$L$35</definedName>
    <definedName name="solver_adj" localSheetId="1" hidden="1">'B2-Cider Apple Budget'!$G$6</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'B2-Cider Apple Budget'!$G$58</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2218.2</definedName>
    <definedName name="solver_ver" localSheetId="1" hidden="1">3</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F19" i="9"/>
  <c r="B6" s="1"/>
  <c r="B5" l="1"/>
  <c r="F38" i="13"/>
  <c r="G38" s="1"/>
  <c r="F39"/>
  <c r="G39" s="1"/>
  <c r="C12"/>
  <c r="G5" i="1" l="1"/>
  <c r="F4" i="9" l="1"/>
  <c r="D4"/>
  <c r="E4" s="1"/>
  <c r="G4" l="1"/>
  <c r="H4" s="1"/>
  <c r="B13"/>
  <c r="B12"/>
  <c r="B11"/>
  <c r="B10"/>
  <c r="B9"/>
  <c r="B7"/>
  <c r="B8"/>
  <c r="C3" i="13"/>
  <c r="D3" s="1"/>
  <c r="E3" s="1"/>
  <c r="F3" s="1"/>
  <c r="G3" s="1"/>
  <c r="G6" i="1" s="1"/>
  <c r="F6" l="1"/>
  <c r="E6"/>
  <c r="U42" i="15" l="1"/>
  <c r="M42"/>
  <c r="E6" i="7" l="1"/>
  <c r="C4" i="8" l="1"/>
  <c r="E13" i="6" l="1"/>
  <c r="E8"/>
  <c r="G8" s="1"/>
  <c r="E7"/>
  <c r="G7" s="1"/>
  <c r="G20" i="1" s="1"/>
  <c r="E6" i="6"/>
  <c r="G6" s="1"/>
  <c r="E5"/>
  <c r="E4"/>
  <c r="E85" i="3"/>
  <c r="E80"/>
  <c r="G80" s="1"/>
  <c r="E79"/>
  <c r="G79" s="1"/>
  <c r="F20" i="1" s="1"/>
  <c r="E78" i="3"/>
  <c r="G78" s="1"/>
  <c r="E77"/>
  <c r="E76"/>
  <c r="E64"/>
  <c r="E58"/>
  <c r="G58" s="1"/>
  <c r="E20" i="1" s="1"/>
  <c r="E59" i="3"/>
  <c r="G59" s="1"/>
  <c r="E57"/>
  <c r="G57" s="1"/>
  <c r="E56"/>
  <c r="E55"/>
  <c r="E46"/>
  <c r="E42"/>
  <c r="G42" s="1"/>
  <c r="E41"/>
  <c r="G41" s="1"/>
  <c r="D20" i="1" s="1"/>
  <c r="E40" i="3"/>
  <c r="G40" s="1"/>
  <c r="E39"/>
  <c r="E38"/>
  <c r="E30"/>
  <c r="E29"/>
  <c r="E25"/>
  <c r="G25" s="1"/>
  <c r="E24"/>
  <c r="G24" s="1"/>
  <c r="C20" i="1" s="1"/>
  <c r="E23" i="3"/>
  <c r="G23" s="1"/>
  <c r="E22"/>
  <c r="E21"/>
  <c r="E15"/>
  <c r="E10"/>
  <c r="E5" i="1" l="1"/>
  <c r="F37" i="15"/>
  <c r="E73" i="3" l="1"/>
  <c r="G73" s="1"/>
  <c r="E22" i="6"/>
  <c r="G26" i="1" s="1"/>
  <c r="E94" i="3"/>
  <c r="G94" s="1"/>
  <c r="G22" i="6" l="1"/>
  <c r="F26" i="1"/>
  <c r="E26"/>
  <c r="F38" i="15"/>
  <c r="F39" l="1"/>
  <c r="D15" i="16"/>
  <c r="D72" i="3"/>
  <c r="D93"/>
  <c r="D21" i="6"/>
  <c r="C21" l="1"/>
  <c r="C93" i="3"/>
  <c r="C72"/>
  <c r="F5" i="1"/>
  <c r="F36" i="15" l="1"/>
  <c r="F40"/>
  <c r="U40" s="1"/>
  <c r="U39"/>
  <c r="U38"/>
  <c r="U37"/>
  <c r="M37" l="1"/>
  <c r="M38"/>
  <c r="M36"/>
  <c r="U36"/>
  <c r="M40"/>
  <c r="M39"/>
  <c r="E9" i="3" l="1"/>
  <c r="I14" i="15" l="1"/>
  <c r="I13"/>
  <c r="I12"/>
  <c r="I11"/>
  <c r="I10"/>
  <c r="H10"/>
  <c r="I15" l="1"/>
  <c r="I16"/>
  <c r="I17"/>
  <c r="I18"/>
  <c r="I19"/>
  <c r="I20"/>
  <c r="I21"/>
  <c r="I22"/>
  <c r="I23"/>
  <c r="I24"/>
  <c r="I25"/>
  <c r="I26"/>
  <c r="I27"/>
  <c r="I28"/>
  <c r="I29"/>
  <c r="I30"/>
  <c r="I31"/>
  <c r="I32"/>
  <c r="I33"/>
  <c r="I34"/>
  <c r="E6" i="3"/>
  <c r="G6" s="1"/>
  <c r="F6"/>
  <c r="E16"/>
  <c r="E18"/>
  <c r="E19"/>
  <c r="E20"/>
  <c r="E8"/>
  <c r="C12"/>
  <c r="L6"/>
  <c r="D13" s="1"/>
  <c r="G21"/>
  <c r="G22"/>
  <c r="C16" i="1" s="1"/>
  <c r="G29" i="3"/>
  <c r="E26"/>
  <c r="G26" s="1"/>
  <c r="C22" i="1" s="1"/>
  <c r="E27" i="3"/>
  <c r="G27" s="1"/>
  <c r="E28"/>
  <c r="G28" s="1"/>
  <c r="E31"/>
  <c r="G31" s="1"/>
  <c r="C29" i="1" s="1"/>
  <c r="E32" i="3"/>
  <c r="G32" s="1"/>
  <c r="C48" i="1" s="1"/>
  <c r="E33" i="3"/>
  <c r="G33" s="1"/>
  <c r="E34"/>
  <c r="G34" s="1"/>
  <c r="C50" i="1" s="1"/>
  <c r="E35" i="3"/>
  <c r="G35" s="1"/>
  <c r="C51" i="1" s="1"/>
  <c r="Q10" i="15"/>
  <c r="P10"/>
  <c r="G38" i="3"/>
  <c r="G39"/>
  <c r="D16" i="1" s="1"/>
  <c r="G46" i="3"/>
  <c r="E43"/>
  <c r="G43" s="1"/>
  <c r="E44"/>
  <c r="G44" s="1"/>
  <c r="E45"/>
  <c r="G45" s="1"/>
  <c r="E47"/>
  <c r="G47" s="1"/>
  <c r="E48"/>
  <c r="G48" s="1"/>
  <c r="D29" i="1" s="1"/>
  <c r="E49" i="3"/>
  <c r="G49" s="1"/>
  <c r="D48" i="1" s="1"/>
  <c r="E50" i="3"/>
  <c r="G50" s="1"/>
  <c r="E51"/>
  <c r="G51" s="1"/>
  <c r="D50" i="1" s="1"/>
  <c r="E52" i="3"/>
  <c r="G52" s="1"/>
  <c r="D51" i="1" s="1"/>
  <c r="Q11" i="15"/>
  <c r="B11"/>
  <c r="G55" i="3"/>
  <c r="G56"/>
  <c r="E16" i="1" s="1"/>
  <c r="G64" i="3"/>
  <c r="C60"/>
  <c r="D60"/>
  <c r="E61"/>
  <c r="G61" s="1"/>
  <c r="E62"/>
  <c r="G62" s="1"/>
  <c r="E63"/>
  <c r="G63" s="1"/>
  <c r="E66"/>
  <c r="G66" s="1"/>
  <c r="E29" i="1" s="1"/>
  <c r="E67" i="3"/>
  <c r="G67" s="1"/>
  <c r="E68"/>
  <c r="G68" s="1"/>
  <c r="E49" i="1" s="1"/>
  <c r="E69" i="3"/>
  <c r="G69" s="1"/>
  <c r="E70"/>
  <c r="G70" s="1"/>
  <c r="E51" i="1" s="1"/>
  <c r="C12" i="15"/>
  <c r="Q12" s="1"/>
  <c r="G76" i="3"/>
  <c r="F15" i="1" s="1"/>
  <c r="G77" i="3"/>
  <c r="G85"/>
  <c r="F17" i="1" s="1"/>
  <c r="C81" i="3"/>
  <c r="D81"/>
  <c r="E82"/>
  <c r="G82" s="1"/>
  <c r="F22" i="1" s="1"/>
  <c r="E83" i="3"/>
  <c r="G83" s="1"/>
  <c r="E84"/>
  <c r="G84" s="1"/>
  <c r="E87"/>
  <c r="G87" s="1"/>
  <c r="F29" i="1" s="1"/>
  <c r="E88" i="3"/>
  <c r="G88" s="1"/>
  <c r="E89"/>
  <c r="G89" s="1"/>
  <c r="F49" i="1" s="1"/>
  <c r="E90" i="3"/>
  <c r="G90" s="1"/>
  <c r="F50" i="1" s="1"/>
  <c r="E91" i="3"/>
  <c r="G91" s="1"/>
  <c r="F51" i="1" s="1"/>
  <c r="C13" i="15"/>
  <c r="Q13" s="1"/>
  <c r="G4" i="6"/>
  <c r="G15" i="1" s="1"/>
  <c r="G5" i="6"/>
  <c r="G13"/>
  <c r="G17" i="1" s="1"/>
  <c r="C9" i="6"/>
  <c r="D9"/>
  <c r="E10"/>
  <c r="G10" s="1"/>
  <c r="E11"/>
  <c r="G11" s="1"/>
  <c r="E12"/>
  <c r="G12" s="1"/>
  <c r="E15"/>
  <c r="G15" s="1"/>
  <c r="E16"/>
  <c r="G16" s="1"/>
  <c r="G48" i="1" s="1"/>
  <c r="E17" i="6"/>
  <c r="G17" s="1"/>
  <c r="G49" i="1" s="1"/>
  <c r="E18" i="6"/>
  <c r="G18" s="1"/>
  <c r="E19"/>
  <c r="G19" s="1"/>
  <c r="G51" i="1" s="1"/>
  <c r="F7" i="6"/>
  <c r="H7" s="1"/>
  <c r="C14" i="15"/>
  <c r="Q14" s="1"/>
  <c r="F4" i="11"/>
  <c r="C5" i="14" s="1"/>
  <c r="F5" s="1"/>
  <c r="F5" i="11"/>
  <c r="F6"/>
  <c r="C7" i="14" s="1"/>
  <c r="F7" s="1"/>
  <c r="G7" s="1"/>
  <c r="F7" i="11"/>
  <c r="C8" i="14" s="1"/>
  <c r="F8" s="1"/>
  <c r="G8" s="1"/>
  <c r="F8" i="11"/>
  <c r="C9" i="14" s="1"/>
  <c r="F9" s="1"/>
  <c r="G9" s="1"/>
  <c r="F9" i="11"/>
  <c r="C10" i="14" s="1"/>
  <c r="F10" s="1"/>
  <c r="G10" s="1"/>
  <c r="F10" i="11"/>
  <c r="C11" i="14" s="1"/>
  <c r="F11" s="1"/>
  <c r="G11" s="1"/>
  <c r="F11" i="11"/>
  <c r="C12" i="14" s="1"/>
  <c r="F12" s="1"/>
  <c r="G12" s="1"/>
  <c r="F12" i="11"/>
  <c r="C13" i="14" s="1"/>
  <c r="F13" s="1"/>
  <c r="G13" s="1"/>
  <c r="F13" i="11"/>
  <c r="C14" i="14" s="1"/>
  <c r="F14" s="1"/>
  <c r="G14" s="1"/>
  <c r="F14" i="11"/>
  <c r="C15" i="14" s="1"/>
  <c r="F15" s="1"/>
  <c r="G15" s="1"/>
  <c r="F15" i="11"/>
  <c r="C16" i="14" s="1"/>
  <c r="F16" s="1"/>
  <c r="G16" s="1"/>
  <c r="K5"/>
  <c r="C8" i="7"/>
  <c r="D18"/>
  <c r="D19"/>
  <c r="E4"/>
  <c r="E5"/>
  <c r="E7"/>
  <c r="E8" i="1"/>
  <c r="F8"/>
  <c r="C5" i="8"/>
  <c r="C14" i="9"/>
  <c r="C15"/>
  <c r="G17" i="3" l="1"/>
  <c r="F58"/>
  <c r="H58" s="1"/>
  <c r="F79"/>
  <c r="H79" s="1"/>
  <c r="F24"/>
  <c r="H24" s="1"/>
  <c r="F41"/>
  <c r="H41" s="1"/>
  <c r="F94"/>
  <c r="H94" s="1"/>
  <c r="F17" i="6"/>
  <c r="H17" s="1"/>
  <c r="F22"/>
  <c r="H22" s="1"/>
  <c r="F73" i="3"/>
  <c r="H73" s="1"/>
  <c r="G7"/>
  <c r="C12" i="1" s="1"/>
  <c r="G5" i="14"/>
  <c r="F16" i="11"/>
  <c r="C6" i="7" s="1"/>
  <c r="C19" i="15"/>
  <c r="Q19" s="1"/>
  <c r="C17"/>
  <c r="Q17" s="1"/>
  <c r="C16"/>
  <c r="Q16" s="1"/>
  <c r="F15" i="6"/>
  <c r="H15" s="1"/>
  <c r="C19" i="1"/>
  <c r="F8" i="6"/>
  <c r="H8" s="1"/>
  <c r="F16"/>
  <c r="H16" s="1"/>
  <c r="D19" i="1"/>
  <c r="E86" i="3"/>
  <c r="G86" s="1"/>
  <c r="F28" i="1" s="1"/>
  <c r="F19"/>
  <c r="F31" i="3"/>
  <c r="H31" s="1"/>
  <c r="F19" i="6"/>
  <c r="H19" s="1"/>
  <c r="F10"/>
  <c r="H10" s="1"/>
  <c r="F4"/>
  <c r="H4" s="1"/>
  <c r="F11"/>
  <c r="H11" s="1"/>
  <c r="F9"/>
  <c r="F18" i="1"/>
  <c r="E65" i="3"/>
  <c r="G65" s="1"/>
  <c r="E28" i="1" s="1"/>
  <c r="F64" i="3"/>
  <c r="H64" s="1"/>
  <c r="F56"/>
  <c r="H56" s="1"/>
  <c r="F14" i="6"/>
  <c r="F33" i="3"/>
  <c r="H33" s="1"/>
  <c r="F23"/>
  <c r="H23" s="1"/>
  <c r="F13" i="6"/>
  <c r="H13" s="1"/>
  <c r="G30" i="3"/>
  <c r="C28" i="1" s="1"/>
  <c r="F18" i="6"/>
  <c r="H18" s="1"/>
  <c r="F5"/>
  <c r="H5" s="1"/>
  <c r="E13" i="2"/>
  <c r="E14" i="6"/>
  <c r="G14" s="1"/>
  <c r="G28" i="1" s="1"/>
  <c r="F21" i="6"/>
  <c r="F6"/>
  <c r="H6" s="1"/>
  <c r="F83" i="3"/>
  <c r="H83" s="1"/>
  <c r="F40"/>
  <c r="H40" s="1"/>
  <c r="F12" i="6"/>
  <c r="H12" s="1"/>
  <c r="E60" i="3"/>
  <c r="G60" s="1"/>
  <c r="E21" i="1" s="1"/>
  <c r="F22" i="3"/>
  <c r="H22" s="1"/>
  <c r="F47"/>
  <c r="H47" s="1"/>
  <c r="D13" i="2"/>
  <c r="F59" i="3"/>
  <c r="H59" s="1"/>
  <c r="F68"/>
  <c r="H68" s="1"/>
  <c r="F80"/>
  <c r="H80" s="1"/>
  <c r="F67"/>
  <c r="H67" s="1"/>
  <c r="F46"/>
  <c r="H46" s="1"/>
  <c r="F88"/>
  <c r="H88" s="1"/>
  <c r="F49"/>
  <c r="H49" s="1"/>
  <c r="F93"/>
  <c r="D12"/>
  <c r="E12" s="1"/>
  <c r="F50"/>
  <c r="H50" s="1"/>
  <c r="F91"/>
  <c r="H91" s="1"/>
  <c r="G19" i="1"/>
  <c r="E81" i="3"/>
  <c r="G81" s="1"/>
  <c r="F21" i="1" s="1"/>
  <c r="E19"/>
  <c r="E9" i="6"/>
  <c r="G9" s="1"/>
  <c r="G21" i="1" s="1"/>
  <c r="E93" i="3"/>
  <c r="G93" s="1"/>
  <c r="F25" i="1" s="1"/>
  <c r="G14" i="3"/>
  <c r="F44"/>
  <c r="H44" s="1"/>
  <c r="F34"/>
  <c r="H34" s="1"/>
  <c r="F82"/>
  <c r="H82" s="1"/>
  <c r="F86"/>
  <c r="F57"/>
  <c r="H57" s="1"/>
  <c r="F61"/>
  <c r="H61" s="1"/>
  <c r="E21" i="6"/>
  <c r="G21" s="1"/>
  <c r="G25" i="1" s="1"/>
  <c r="F14" i="3"/>
  <c r="F39"/>
  <c r="H39" s="1"/>
  <c r="F85"/>
  <c r="H85" s="1"/>
  <c r="C13" i="2"/>
  <c r="F13"/>
  <c r="F26" i="3"/>
  <c r="H26" s="1"/>
  <c r="F35"/>
  <c r="H35" s="1"/>
  <c r="D18" i="1"/>
  <c r="G8"/>
  <c r="G13" i="2" s="1"/>
  <c r="E72" i="3"/>
  <c r="G72" s="1"/>
  <c r="E25" i="1" s="1"/>
  <c r="D22"/>
  <c r="G22"/>
  <c r="G50"/>
  <c r="C17"/>
  <c r="G29"/>
  <c r="F23"/>
  <c r="E22"/>
  <c r="E13" i="3"/>
  <c r="C33" i="15"/>
  <c r="Q33" s="1"/>
  <c r="F62" i="3"/>
  <c r="H62" s="1"/>
  <c r="F27"/>
  <c r="H27" s="1"/>
  <c r="F43"/>
  <c r="H43" s="1"/>
  <c r="F45"/>
  <c r="H45" s="1"/>
  <c r="F21"/>
  <c r="H21" s="1"/>
  <c r="F72"/>
  <c r="F66"/>
  <c r="H66" s="1"/>
  <c r="F42"/>
  <c r="H42" s="1"/>
  <c r="F30"/>
  <c r="F52"/>
  <c r="H52" s="1"/>
  <c r="F7"/>
  <c r="C28" i="15"/>
  <c r="Q28" s="1"/>
  <c r="E18" i="1"/>
  <c r="P11" i="15"/>
  <c r="H11"/>
  <c r="F17" i="3"/>
  <c r="F38"/>
  <c r="H38" s="1"/>
  <c r="F65"/>
  <c r="F25"/>
  <c r="H25" s="1"/>
  <c r="F90"/>
  <c r="H90" s="1"/>
  <c r="F76"/>
  <c r="H76" s="1"/>
  <c r="F77"/>
  <c r="H77" s="1"/>
  <c r="F69"/>
  <c r="H69" s="1"/>
  <c r="C6" i="14"/>
  <c r="C18" i="15"/>
  <c r="Q18" s="1"/>
  <c r="F81" i="3"/>
  <c r="F11"/>
  <c r="F51"/>
  <c r="H51" s="1"/>
  <c r="C31" i="15"/>
  <c r="Q31" s="1"/>
  <c r="F84" i="3"/>
  <c r="H84" s="1"/>
  <c r="F55"/>
  <c r="H55" s="1"/>
  <c r="F60"/>
  <c r="F48"/>
  <c r="H48" s="1"/>
  <c r="F89"/>
  <c r="H89" s="1"/>
  <c r="F70"/>
  <c r="H70" s="1"/>
  <c r="F78"/>
  <c r="H78" s="1"/>
  <c r="F29"/>
  <c r="H29" s="1"/>
  <c r="F28"/>
  <c r="H28" s="1"/>
  <c r="F87"/>
  <c r="H87" s="1"/>
  <c r="F63"/>
  <c r="H63" s="1"/>
  <c r="F32"/>
  <c r="H32" s="1"/>
  <c r="C29" i="15"/>
  <c r="Q29" s="1"/>
  <c r="G23" i="1"/>
  <c r="F16"/>
  <c r="E48"/>
  <c r="E23"/>
  <c r="E17"/>
  <c r="D49"/>
  <c r="D17"/>
  <c r="C23"/>
  <c r="G16"/>
  <c r="F48"/>
  <c r="E50"/>
  <c r="E15"/>
  <c r="D28"/>
  <c r="D23"/>
  <c r="D15"/>
  <c r="C49"/>
  <c r="C15"/>
  <c r="H6" i="3"/>
  <c r="C32" i="15"/>
  <c r="C30"/>
  <c r="C27"/>
  <c r="C26"/>
  <c r="C34"/>
  <c r="C25"/>
  <c r="C24"/>
  <c r="C23"/>
  <c r="C22"/>
  <c r="C21"/>
  <c r="C20"/>
  <c r="C15"/>
  <c r="B12"/>
  <c r="H12" s="1"/>
  <c r="H30" i="3" l="1"/>
  <c r="H86"/>
  <c r="H65"/>
  <c r="H93"/>
  <c r="H14" i="6"/>
  <c r="H9"/>
  <c r="H60" i="3"/>
  <c r="H81"/>
  <c r="H21" i="6"/>
  <c r="G11" i="3"/>
  <c r="C13" i="1" s="1"/>
  <c r="G18"/>
  <c r="C18"/>
  <c r="H7" i="3"/>
  <c r="H14"/>
  <c r="H17"/>
  <c r="H72"/>
  <c r="C9" i="2"/>
  <c r="F6" i="14"/>
  <c r="F17" s="1"/>
  <c r="C17"/>
  <c r="F31" i="1"/>
  <c r="F32" s="1"/>
  <c r="F34" s="1"/>
  <c r="D31"/>
  <c r="D32" s="1"/>
  <c r="D34" s="1"/>
  <c r="C6" i="2"/>
  <c r="C5" i="7"/>
  <c r="F5" s="1"/>
  <c r="G5" s="1"/>
  <c r="E31" i="1"/>
  <c r="E32" s="1"/>
  <c r="Q20" i="15"/>
  <c r="Q22"/>
  <c r="Q24"/>
  <c r="Q34"/>
  <c r="Q27"/>
  <c r="Q30"/>
  <c r="B13"/>
  <c r="P12"/>
  <c r="Q15"/>
  <c r="Q21"/>
  <c r="Q23"/>
  <c r="Q25"/>
  <c r="Q26"/>
  <c r="Q32"/>
  <c r="G31" i="1" l="1"/>
  <c r="G32" s="1"/>
  <c r="H13" i="15"/>
  <c r="B14"/>
  <c r="B15" s="1"/>
  <c r="B16" s="1"/>
  <c r="B17" s="1"/>
  <c r="B18" s="1"/>
  <c r="B19" s="1"/>
  <c r="B20" s="1"/>
  <c r="B21" s="1"/>
  <c r="B22" s="1"/>
  <c r="B23" s="1"/>
  <c r="B24" s="1"/>
  <c r="B25" s="1"/>
  <c r="B26" s="1"/>
  <c r="B27" s="1"/>
  <c r="B28" s="1"/>
  <c r="B29" s="1"/>
  <c r="B30" s="1"/>
  <c r="B31" s="1"/>
  <c r="B32" s="1"/>
  <c r="B33" s="1"/>
  <c r="B34" s="1"/>
  <c r="J13"/>
  <c r="K13" s="1"/>
  <c r="J11"/>
  <c r="K11" s="1"/>
  <c r="L11" s="1"/>
  <c r="H11" i="3"/>
  <c r="C31" i="1"/>
  <c r="C32" s="1"/>
  <c r="C8" i="2"/>
  <c r="C4" i="7"/>
  <c r="C7" i="2"/>
  <c r="C7" i="7"/>
  <c r="D6"/>
  <c r="F6" s="1"/>
  <c r="G6" s="1"/>
  <c r="G6" i="14"/>
  <c r="G17" s="1"/>
  <c r="F10" i="2"/>
  <c r="F11" s="1"/>
  <c r="C43" i="1"/>
  <c r="D43"/>
  <c r="E43"/>
  <c r="G43"/>
  <c r="F43"/>
  <c r="D10" i="2"/>
  <c r="D11" s="1"/>
  <c r="E34" i="1"/>
  <c r="P13" i="15"/>
  <c r="G34" i="1" l="1"/>
  <c r="J14" i="15" s="1"/>
  <c r="J33" s="1"/>
  <c r="K33" s="1"/>
  <c r="L13"/>
  <c r="J12"/>
  <c r="K12" s="1"/>
  <c r="L12" s="1"/>
  <c r="H17" i="14"/>
  <c r="G20" i="7" s="1"/>
  <c r="C34" i="1"/>
  <c r="J10" i="15" s="1"/>
  <c r="F7" i="7"/>
  <c r="G7" s="1"/>
  <c r="C19"/>
  <c r="E19" s="1"/>
  <c r="G19" s="1"/>
  <c r="F4"/>
  <c r="G4" s="1"/>
  <c r="C18"/>
  <c r="E18" s="1"/>
  <c r="G18" s="1"/>
  <c r="F44" i="1"/>
  <c r="G44"/>
  <c r="E44"/>
  <c r="C44"/>
  <c r="D44"/>
  <c r="D11" i="15"/>
  <c r="D15" i="2"/>
  <c r="D13" i="15"/>
  <c r="F15" i="2"/>
  <c r="E10"/>
  <c r="E11" s="1"/>
  <c r="H14" i="15"/>
  <c r="G10" i="2" l="1"/>
  <c r="G11" s="1"/>
  <c r="D14" i="15" s="1"/>
  <c r="D5" i="16"/>
  <c r="K14" i="15"/>
  <c r="L14" s="1"/>
  <c r="J16"/>
  <c r="K16" s="1"/>
  <c r="J15"/>
  <c r="K15" s="1"/>
  <c r="J27"/>
  <c r="K27" s="1"/>
  <c r="J24"/>
  <c r="K24" s="1"/>
  <c r="J29"/>
  <c r="K29" s="1"/>
  <c r="J28"/>
  <c r="K28" s="1"/>
  <c r="J25"/>
  <c r="K25" s="1"/>
  <c r="J31"/>
  <c r="K31" s="1"/>
  <c r="J34"/>
  <c r="K34" s="1"/>
  <c r="J30"/>
  <c r="K30" s="1"/>
  <c r="J20"/>
  <c r="K20" s="1"/>
  <c r="J17"/>
  <c r="K17" s="1"/>
  <c r="J32"/>
  <c r="K32" s="1"/>
  <c r="J19"/>
  <c r="K19" s="1"/>
  <c r="J21"/>
  <c r="K21" s="1"/>
  <c r="J22"/>
  <c r="K22" s="1"/>
  <c r="J23"/>
  <c r="K23" s="1"/>
  <c r="J26"/>
  <c r="K26" s="1"/>
  <c r="J18"/>
  <c r="K18" s="1"/>
  <c r="D7" i="16"/>
  <c r="E7" s="1"/>
  <c r="E5"/>
  <c r="G15" i="2"/>
  <c r="C10"/>
  <c r="C11" s="1"/>
  <c r="D10" i="15" s="1"/>
  <c r="R10" s="1"/>
  <c r="S10" s="1"/>
  <c r="T10" s="1"/>
  <c r="K10"/>
  <c r="L10" s="1"/>
  <c r="F39" i="1"/>
  <c r="G39"/>
  <c r="E39"/>
  <c r="C39"/>
  <c r="D39"/>
  <c r="C38"/>
  <c r="G38"/>
  <c r="F38"/>
  <c r="D38"/>
  <c r="E38"/>
  <c r="G42"/>
  <c r="D42"/>
  <c r="C42"/>
  <c r="F42"/>
  <c r="E42"/>
  <c r="C40"/>
  <c r="F40"/>
  <c r="E40"/>
  <c r="D40"/>
  <c r="G40"/>
  <c r="G45"/>
  <c r="D45"/>
  <c r="F45"/>
  <c r="C45"/>
  <c r="E45"/>
  <c r="R13" i="15"/>
  <c r="S13" s="1"/>
  <c r="T13" s="1"/>
  <c r="E13"/>
  <c r="F13" s="1"/>
  <c r="R14"/>
  <c r="S14" s="1"/>
  <c r="D16"/>
  <c r="D17"/>
  <c r="D18"/>
  <c r="D19"/>
  <c r="D20"/>
  <c r="D22"/>
  <c r="D24"/>
  <c r="D34"/>
  <c r="D27"/>
  <c r="D15"/>
  <c r="D21"/>
  <c r="D23"/>
  <c r="D25"/>
  <c r="D26"/>
  <c r="D28"/>
  <c r="D29"/>
  <c r="D30"/>
  <c r="D31"/>
  <c r="D32"/>
  <c r="D33"/>
  <c r="E14"/>
  <c r="F14" s="1"/>
  <c r="R11"/>
  <c r="S11" s="1"/>
  <c r="T11" s="1"/>
  <c r="E11"/>
  <c r="F11" s="1"/>
  <c r="D12"/>
  <c r="E15" i="2"/>
  <c r="P14" i="15"/>
  <c r="H15"/>
  <c r="D10" i="16" l="1"/>
  <c r="E10" s="1"/>
  <c r="L15" i="15"/>
  <c r="M15" s="1"/>
  <c r="M14"/>
  <c r="C54" i="1"/>
  <c r="C56" s="1"/>
  <c r="C60" s="1"/>
  <c r="D46" s="1"/>
  <c r="D54" s="1"/>
  <c r="D56" s="1"/>
  <c r="D58" s="1"/>
  <c r="C15" i="2"/>
  <c r="E10" i="15"/>
  <c r="F10" s="1"/>
  <c r="M10"/>
  <c r="M11"/>
  <c r="M12"/>
  <c r="M13"/>
  <c r="T14"/>
  <c r="R12"/>
  <c r="S12" s="1"/>
  <c r="T12" s="1"/>
  <c r="U13" s="1"/>
  <c r="E12"/>
  <c r="F12" s="1"/>
  <c r="U10"/>
  <c r="U11"/>
  <c r="R33"/>
  <c r="S33" s="1"/>
  <c r="E33"/>
  <c r="R31"/>
  <c r="S31" s="1"/>
  <c r="E31"/>
  <c r="R29"/>
  <c r="S29" s="1"/>
  <c r="E29"/>
  <c r="R26"/>
  <c r="S26" s="1"/>
  <c r="E26"/>
  <c r="R23"/>
  <c r="S23" s="1"/>
  <c r="E23"/>
  <c r="R15"/>
  <c r="S15" s="1"/>
  <c r="E15"/>
  <c r="F15" s="1"/>
  <c r="R34"/>
  <c r="S34" s="1"/>
  <c r="E34"/>
  <c r="R22"/>
  <c r="S22" s="1"/>
  <c r="E22"/>
  <c r="R19"/>
  <c r="S19" s="1"/>
  <c r="E19"/>
  <c r="R17"/>
  <c r="S17" s="1"/>
  <c r="E17"/>
  <c r="R32"/>
  <c r="S32" s="1"/>
  <c r="E32"/>
  <c r="R30"/>
  <c r="S30" s="1"/>
  <c r="E30"/>
  <c r="R28"/>
  <c r="S28" s="1"/>
  <c r="E28"/>
  <c r="R25"/>
  <c r="S25" s="1"/>
  <c r="E25"/>
  <c r="R21"/>
  <c r="S21" s="1"/>
  <c r="E21"/>
  <c r="R27"/>
  <c r="S27" s="1"/>
  <c r="E27"/>
  <c r="R24"/>
  <c r="S24" s="1"/>
  <c r="E24"/>
  <c r="R20"/>
  <c r="S20" s="1"/>
  <c r="E20"/>
  <c r="R18"/>
  <c r="S18" s="1"/>
  <c r="E18"/>
  <c r="R16"/>
  <c r="S16" s="1"/>
  <c r="E16"/>
  <c r="P15"/>
  <c r="H16"/>
  <c r="C58" i="1" l="1"/>
  <c r="D60"/>
  <c r="E46" s="1"/>
  <c r="E54" s="1"/>
  <c r="E56" s="1"/>
  <c r="E58" s="1"/>
  <c r="T15" i="15"/>
  <c r="U15" s="1"/>
  <c r="U14"/>
  <c r="L16"/>
  <c r="U12"/>
  <c r="P16"/>
  <c r="T16" s="1"/>
  <c r="H17"/>
  <c r="L17" s="1"/>
  <c r="F16"/>
  <c r="E60" i="1" l="1"/>
  <c r="F46" s="1"/>
  <c r="F54" s="1"/>
  <c r="F56" s="1"/>
  <c r="F58" s="1"/>
  <c r="U16" i="15"/>
  <c r="M17"/>
  <c r="M16"/>
  <c r="P17"/>
  <c r="H18"/>
  <c r="L18" s="1"/>
  <c r="M18" s="1"/>
  <c r="F17"/>
  <c r="T17" l="1"/>
  <c r="U17" s="1"/>
  <c r="F60" i="1"/>
  <c r="C3" i="8" s="1"/>
  <c r="P18" i="15"/>
  <c r="T18" s="1"/>
  <c r="H19"/>
  <c r="L19" s="1"/>
  <c r="F18"/>
  <c r="M19" l="1"/>
  <c r="U18"/>
  <c r="P19"/>
  <c r="T19" s="1"/>
  <c r="U19" s="1"/>
  <c r="H20"/>
  <c r="L20" s="1"/>
  <c r="M20" s="1"/>
  <c r="F19"/>
  <c r="M41" l="1"/>
  <c r="C7" i="8"/>
  <c r="P20" i="15"/>
  <c r="T20" s="1"/>
  <c r="U20" s="1"/>
  <c r="H21"/>
  <c r="L21" s="1"/>
  <c r="M21" s="1"/>
  <c r="F20"/>
  <c r="G52" i="1" l="1"/>
  <c r="G54" s="1"/>
  <c r="H22" i="15"/>
  <c r="L22" s="1"/>
  <c r="P21"/>
  <c r="T21" s="1"/>
  <c r="U21" s="1"/>
  <c r="F21"/>
  <c r="C5" i="9" l="1"/>
  <c r="E5"/>
  <c r="D5"/>
  <c r="G5"/>
  <c r="F5"/>
  <c r="H5"/>
  <c r="C6"/>
  <c r="D6"/>
  <c r="F6"/>
  <c r="H6"/>
  <c r="G6"/>
  <c r="E6"/>
  <c r="F10"/>
  <c r="G56" i="1"/>
  <c r="C9" i="9"/>
  <c r="C10"/>
  <c r="C11"/>
  <c r="C12"/>
  <c r="C13"/>
  <c r="D13"/>
  <c r="C7"/>
  <c r="C8"/>
  <c r="D9"/>
  <c r="F12"/>
  <c r="G11"/>
  <c r="D8"/>
  <c r="G13"/>
  <c r="G9"/>
  <c r="H8"/>
  <c r="F7"/>
  <c r="F8"/>
  <c r="E10"/>
  <c r="D11"/>
  <c r="H10"/>
  <c r="G10"/>
  <c r="H12"/>
  <c r="D10"/>
  <c r="D7"/>
  <c r="H7"/>
  <c r="E9"/>
  <c r="H13"/>
  <c r="H11"/>
  <c r="D12"/>
  <c r="F11"/>
  <c r="F9"/>
  <c r="G12"/>
  <c r="H9"/>
  <c r="G8"/>
  <c r="E13"/>
  <c r="E8"/>
  <c r="E7"/>
  <c r="G7"/>
  <c r="E11"/>
  <c r="F13"/>
  <c r="E12"/>
  <c r="M22" i="15"/>
  <c r="H23"/>
  <c r="L23" s="1"/>
  <c r="M23" s="1"/>
  <c r="P22"/>
  <c r="T22" s="1"/>
  <c r="U22" s="1"/>
  <c r="F22"/>
  <c r="G58" i="1" l="1"/>
  <c r="D13" i="16"/>
  <c r="E13" s="1"/>
  <c r="H24" i="15"/>
  <c r="L24" s="1"/>
  <c r="M24" s="1"/>
  <c r="P23"/>
  <c r="T23" s="1"/>
  <c r="U23" s="1"/>
  <c r="F23"/>
  <c r="H25" l="1"/>
  <c r="L25" s="1"/>
  <c r="P24"/>
  <c r="T24" s="1"/>
  <c r="U24" s="1"/>
  <c r="F24"/>
  <c r="M25" l="1"/>
  <c r="H26"/>
  <c r="L26" s="1"/>
  <c r="M26" s="1"/>
  <c r="P25"/>
  <c r="T25" s="1"/>
  <c r="U25" s="1"/>
  <c r="F25"/>
  <c r="P26" l="1"/>
  <c r="T26" s="1"/>
  <c r="U26" s="1"/>
  <c r="H27"/>
  <c r="L27" s="1"/>
  <c r="M27" s="1"/>
  <c r="F26"/>
  <c r="U41" l="1"/>
  <c r="H28"/>
  <c r="L28" s="1"/>
  <c r="P27"/>
  <c r="T27" s="1"/>
  <c r="U27" s="1"/>
  <c r="F27"/>
  <c r="M28" l="1"/>
  <c r="H29"/>
  <c r="L29" s="1"/>
  <c r="M29" s="1"/>
  <c r="P28"/>
  <c r="T28" s="1"/>
  <c r="U28" s="1"/>
  <c r="F28"/>
  <c r="H30" l="1"/>
  <c r="L30" s="1"/>
  <c r="M30" s="1"/>
  <c r="P29"/>
  <c r="T29" s="1"/>
  <c r="U29" s="1"/>
  <c r="F29"/>
  <c r="P30" l="1"/>
  <c r="T30" s="1"/>
  <c r="U30" s="1"/>
  <c r="H31"/>
  <c r="L31" s="1"/>
  <c r="M31" s="1"/>
  <c r="F30"/>
  <c r="H32" l="1"/>
  <c r="L32" s="1"/>
  <c r="M32" s="1"/>
  <c r="P31"/>
  <c r="T31" s="1"/>
  <c r="U31" s="1"/>
  <c r="F31"/>
  <c r="H33" l="1"/>
  <c r="L33" s="1"/>
  <c r="M33" s="1"/>
  <c r="P32"/>
  <c r="T32" s="1"/>
  <c r="U32" s="1"/>
  <c r="F32"/>
  <c r="H34" l="1"/>
  <c r="L34" s="1"/>
  <c r="M34" s="1"/>
  <c r="P33"/>
  <c r="T33" s="1"/>
  <c r="U33" s="1"/>
  <c r="F33"/>
  <c r="P34" l="1"/>
  <c r="T34" s="1"/>
  <c r="U34" s="1"/>
  <c r="F34"/>
  <c r="F41" s="1"/>
</calcChain>
</file>

<file path=xl/sharedStrings.xml><?xml version="1.0" encoding="utf-8"?>
<sst xmlns="http://schemas.openxmlformats.org/spreadsheetml/2006/main" count="581" uniqueCount="398">
  <si>
    <t>Establishment Years</t>
  </si>
  <si>
    <t xml:space="preserve"> Year 1</t>
  </si>
  <si>
    <t>Year 2</t>
  </si>
  <si>
    <t>Year 3</t>
  </si>
  <si>
    <t>Year 4</t>
  </si>
  <si>
    <t>Trellis System</t>
  </si>
  <si>
    <t>Irrigation System</t>
  </si>
  <si>
    <t>Mainline &amp; Pump</t>
  </si>
  <si>
    <t>Establishment</t>
  </si>
  <si>
    <t>Depreciation</t>
  </si>
  <si>
    <t>Trellis</t>
  </si>
  <si>
    <t>Orchard Activities</t>
  </si>
  <si>
    <t>Beehives</t>
  </si>
  <si>
    <t>Interest</t>
  </si>
  <si>
    <t>Irrigation/Electric Charge</t>
  </si>
  <si>
    <t>Land</t>
  </si>
  <si>
    <t>Other Fixed Costs</t>
  </si>
  <si>
    <t>Maintenance and Repairs</t>
  </si>
  <si>
    <t>Insurance Cost (all farm)</t>
  </si>
  <si>
    <t>Management Cost</t>
  </si>
  <si>
    <t>Total Fixed Costs</t>
  </si>
  <si>
    <t>Other Variable Costs</t>
  </si>
  <si>
    <t>TOTAL COSTS</t>
  </si>
  <si>
    <t>ESTIMATED NET RETURNS</t>
  </si>
  <si>
    <t>Total Variable Costs</t>
  </si>
  <si>
    <t>Accumulated Establishment Costs</t>
  </si>
  <si>
    <t>Year 1</t>
  </si>
  <si>
    <t xml:space="preserve">Trees </t>
  </si>
  <si>
    <t>wire</t>
  </si>
  <si>
    <t>picking (multiple picks)</t>
  </si>
  <si>
    <t>Units per Acre</t>
  </si>
  <si>
    <t>Number of Acres</t>
  </si>
  <si>
    <t>Cost per Unit ($)</t>
  </si>
  <si>
    <t>Cost per Acre ($)</t>
  </si>
  <si>
    <t>Total Cost Per Acre ($)</t>
  </si>
  <si>
    <t>Total Cost for Block ($)</t>
  </si>
  <si>
    <t>Interest Rate</t>
  </si>
  <si>
    <t>Total Purchase Price ($)</t>
  </si>
  <si>
    <t>Total Value Per Acre ($)</t>
  </si>
  <si>
    <t>Years of Use</t>
  </si>
  <si>
    <t>Soil Preparation</t>
  </si>
  <si>
    <t>Variable Costs ($/acre):</t>
  </si>
  <si>
    <t>Fixed Costs ($/acre):</t>
  </si>
  <si>
    <t>Dollar amount to be amortized</t>
  </si>
  <si>
    <t>Amortized Amount Per Year</t>
  </si>
  <si>
    <t>Total Cost</t>
  </si>
  <si>
    <t>Architecture</t>
  </si>
  <si>
    <t>1.</t>
  </si>
  <si>
    <t>2.</t>
  </si>
  <si>
    <t>3.</t>
  </si>
  <si>
    <t>Between row spacing</t>
  </si>
  <si>
    <t>4.</t>
  </si>
  <si>
    <t>Your Costs</t>
  </si>
  <si>
    <t>5.</t>
  </si>
  <si>
    <t>full sized trees (5/8" or better)</t>
  </si>
  <si>
    <t>Tree density per acre:</t>
  </si>
  <si>
    <t xml:space="preserve">Irrigation  </t>
  </si>
  <si>
    <t>installation labor</t>
  </si>
  <si>
    <t>6.</t>
  </si>
  <si>
    <t>Total acres in block:</t>
  </si>
  <si>
    <t>Productive block acres:</t>
  </si>
  <si>
    <t>Number of Units</t>
  </si>
  <si>
    <t>Land &amp; Property Taxes</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</si>
  <si>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</si>
  <si>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</si>
  <si>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</si>
  <si>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Insurance (all farm)</t>
  </si>
  <si>
    <t>Harvest Costs (per bin)</t>
  </si>
  <si>
    <t>Fuel &amp; Lube</t>
  </si>
  <si>
    <t>planting per tree (labor and tractor)</t>
  </si>
  <si>
    <t>labor</t>
  </si>
  <si>
    <t>materials</t>
  </si>
  <si>
    <t>Trees (including labor)</t>
  </si>
  <si>
    <t>Establishment Costs (5%)</t>
  </si>
  <si>
    <t>Total</t>
  </si>
  <si>
    <t>Overhead cost</t>
  </si>
  <si>
    <t>Interest cost</t>
  </si>
  <si>
    <t>7.</t>
  </si>
  <si>
    <t>Soil prep</t>
  </si>
  <si>
    <t>Trees</t>
  </si>
  <si>
    <t>Maintenance &amp; Repairs</t>
  </si>
  <si>
    <t>Chemicals</t>
  </si>
  <si>
    <t>Irrigation/electric charge</t>
  </si>
  <si>
    <t>Cost per bee hive</t>
  </si>
  <si>
    <t>Number of bee hives per acre</t>
  </si>
  <si>
    <t>Interest rate</t>
  </si>
  <si>
    <t>Establishment interest rate</t>
  </si>
  <si>
    <t>No. of years to borrow operating capital</t>
  </si>
  <si>
    <t>Total acres in block</t>
  </si>
  <si>
    <t>Total productive acres</t>
  </si>
  <si>
    <t>Planted trees per acre</t>
  </si>
  <si>
    <t>Total orchard acres</t>
  </si>
  <si>
    <t>Land cost</t>
  </si>
  <si>
    <t>Irrigation installation</t>
  </si>
  <si>
    <t>Irrigation</t>
  </si>
  <si>
    <t>Fertilizer after Soil Prep</t>
  </si>
  <si>
    <t>Pruning and training</t>
  </si>
  <si>
    <t>Green fruit thinning</t>
  </si>
  <si>
    <t>8.</t>
  </si>
  <si>
    <t>Tree cost per unit</t>
  </si>
  <si>
    <t xml:space="preserve">Irrigation </t>
  </si>
  <si>
    <t>Beehive</t>
  </si>
  <si>
    <t>Miscellaneous labor (lump sum)</t>
  </si>
  <si>
    <t xml:space="preserve">  </t>
  </si>
  <si>
    <t>laterals, sprinklers, sub-lines</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</si>
  <si>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</si>
  <si>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rip and disk ground (custom)</t>
  </si>
  <si>
    <t xml:space="preserve">Overhead </t>
  </si>
  <si>
    <t>Trellis (total cost)</t>
  </si>
  <si>
    <t>Installation labor</t>
  </si>
  <si>
    <t>Annual Requirements ($)</t>
  </si>
  <si>
    <t>Total Requirements ($)</t>
  </si>
  <si>
    <t>Receipts ($)</t>
  </si>
  <si>
    <t>Net Requirements ($)</t>
  </si>
  <si>
    <t>Tree density per acre</t>
  </si>
  <si>
    <t>Miscellaneous supplies (lump sum)</t>
  </si>
  <si>
    <t>Miscellaneous Supplies</t>
  </si>
  <si>
    <t>Mainline</t>
  </si>
  <si>
    <t>Total Cost ($)</t>
  </si>
  <si>
    <t>FOB Gross Prices per bin</t>
  </si>
  <si>
    <t>Gross Production per acre (number of bins)</t>
  </si>
  <si>
    <t>9.</t>
  </si>
  <si>
    <t>Notes:</t>
  </si>
  <si>
    <t>Shaded area denotes a positive profit based on the combination of yield and price.</t>
  </si>
  <si>
    <t>Machinery, Equipment &amp; Building</t>
  </si>
  <si>
    <t>In-row spacing</t>
  </si>
  <si>
    <t>Root stock</t>
  </si>
  <si>
    <t>Notes</t>
  </si>
  <si>
    <t>Irrigation system</t>
  </si>
  <si>
    <t>Machinery repair (lump sum)</t>
  </si>
  <si>
    <t xml:space="preserve">All other labor. Excludes pruning, training, thinning, chemical &amp; fertilizer application, planting, irrigation labor, harvest. </t>
  </si>
  <si>
    <t>Other</t>
  </si>
  <si>
    <t>Salvage Value</t>
  </si>
  <si>
    <t xml:space="preserve">Notes: </t>
  </si>
  <si>
    <t>Maintenance &amp; Repair</t>
  </si>
  <si>
    <t>Annual Depreciation Cost per Acre ($)</t>
  </si>
  <si>
    <t>Rip and disk ground (custom)</t>
  </si>
  <si>
    <t>Water</t>
  </si>
  <si>
    <t>Irrigation Water &amp; Electric Charge</t>
  </si>
  <si>
    <t>Irrigation Water</t>
  </si>
  <si>
    <t>cover crop (materials and labor)</t>
  </si>
  <si>
    <t>N/A</t>
  </si>
  <si>
    <t>Price</t>
  </si>
  <si>
    <t>Yield</t>
  </si>
  <si>
    <t>Total orchard acreage:</t>
  </si>
  <si>
    <t>Year</t>
  </si>
  <si>
    <t>Gross Return</t>
  </si>
  <si>
    <t>Net Return</t>
  </si>
  <si>
    <t>Price per bin</t>
  </si>
  <si>
    <t>Yield Year 3</t>
  </si>
  <si>
    <t>Yield Year 4</t>
  </si>
  <si>
    <t>Yield Full Prod</t>
  </si>
  <si>
    <t>Prod area (acres)</t>
  </si>
  <si>
    <t>NPV</t>
  </si>
  <si>
    <t>d. rate*</t>
  </si>
  <si>
    <t xml:space="preserve">Calculate NPV </t>
  </si>
  <si>
    <t>Discounted Net Return</t>
  </si>
  <si>
    <t>Cumulative Discounted Net Return</t>
  </si>
  <si>
    <t>Payback period (years)</t>
  </si>
  <si>
    <r>
      <t>Full Production</t>
    </r>
    <r>
      <rPr>
        <b/>
        <vertAlign val="superscript"/>
        <sz val="11"/>
        <rFont val="Times New Roman"/>
        <family val="1"/>
      </rPr>
      <t>A</t>
    </r>
  </si>
  <si>
    <r>
      <t>Salvage Value ($)</t>
    </r>
    <r>
      <rPr>
        <b/>
        <vertAlign val="superscript"/>
        <sz val="11"/>
        <color indexed="8"/>
        <rFont val="Times New Roman"/>
        <family val="1"/>
      </rPr>
      <t>A</t>
    </r>
  </si>
  <si>
    <r>
      <t>Irrigation System</t>
    </r>
    <r>
      <rPr>
        <vertAlign val="superscript"/>
        <sz val="11"/>
        <rFont val="Times New Roman"/>
        <family val="1"/>
      </rPr>
      <t>C</t>
    </r>
  </si>
  <si>
    <r>
      <t>Trellis</t>
    </r>
    <r>
      <rPr>
        <vertAlign val="superscript"/>
        <sz val="11"/>
        <color indexed="8"/>
        <rFont val="Times New Roman"/>
        <family val="1"/>
      </rPr>
      <t>C</t>
    </r>
  </si>
  <si>
    <t>A. Not applied to land because land is not a depreciable asset.</t>
  </si>
  <si>
    <r>
      <t>Depreciation Cost Per Acre ($/yr)</t>
    </r>
    <r>
      <rPr>
        <b/>
        <vertAlign val="superscript"/>
        <sz val="11"/>
        <color indexed="8"/>
        <rFont val="Times New Roman"/>
        <family val="1"/>
      </rPr>
      <t>A</t>
    </r>
  </si>
  <si>
    <r>
      <t>Pruning and Training (labor)</t>
    </r>
    <r>
      <rPr>
        <vertAlign val="superscript"/>
        <sz val="11"/>
        <rFont val="Times New Roman"/>
        <family val="1"/>
      </rPr>
      <t>C</t>
    </r>
  </si>
  <si>
    <r>
      <t>Green Fruit Thinning (labor)</t>
    </r>
    <r>
      <rPr>
        <vertAlign val="superscript"/>
        <sz val="11"/>
        <rFont val="Times New Roman"/>
        <family val="1"/>
      </rPr>
      <t>C</t>
    </r>
  </si>
  <si>
    <r>
      <t>Chemicals</t>
    </r>
    <r>
      <rPr>
        <vertAlign val="superscript"/>
        <sz val="11"/>
        <rFont val="Times New Roman"/>
        <family val="1"/>
      </rPr>
      <t>D</t>
    </r>
  </si>
  <si>
    <r>
      <t>includes water rights</t>
    </r>
    <r>
      <rPr>
        <vertAlign val="superscript"/>
        <sz val="11"/>
        <color indexed="8"/>
        <rFont val="Times New Roman"/>
        <family val="1"/>
      </rPr>
      <t>A</t>
    </r>
  </si>
  <si>
    <t>Management overhead</t>
  </si>
  <si>
    <r>
      <t>Number of years</t>
    </r>
    <r>
      <rPr>
        <vertAlign val="superscript"/>
        <sz val="11"/>
        <color indexed="8"/>
        <rFont val="Times New Roman"/>
        <family val="1"/>
      </rPr>
      <t>A</t>
    </r>
  </si>
  <si>
    <t xml:space="preserve">A. Total life of planting - establishment years. </t>
  </si>
  <si>
    <r>
      <t>Pruning and Training (labor)</t>
    </r>
    <r>
      <rPr>
        <vertAlign val="superscript"/>
        <sz val="11"/>
        <rFont val="Times New Roman"/>
        <family val="1"/>
      </rPr>
      <t>A</t>
    </r>
  </si>
  <si>
    <r>
      <t>Green Fruit Thinning (labor)</t>
    </r>
    <r>
      <rPr>
        <vertAlign val="superscript"/>
        <sz val="11"/>
        <rFont val="Times New Roman"/>
        <family val="1"/>
      </rPr>
      <t>A</t>
    </r>
  </si>
  <si>
    <r>
      <t>Chemicals</t>
    </r>
    <r>
      <rPr>
        <vertAlign val="superscript"/>
        <sz val="11"/>
        <rFont val="Times New Roman"/>
        <family val="1"/>
      </rPr>
      <t>B</t>
    </r>
  </si>
  <si>
    <r>
      <t>Fertilizer</t>
    </r>
    <r>
      <rPr>
        <vertAlign val="superscript"/>
        <sz val="11"/>
        <rFont val="Times New Roman"/>
        <family val="1"/>
      </rPr>
      <t>D</t>
    </r>
  </si>
  <si>
    <r>
      <t>General Farm Labor</t>
    </r>
    <r>
      <rPr>
        <vertAlign val="superscript"/>
        <sz val="11"/>
        <rFont val="Times New Roman"/>
        <family val="1"/>
      </rPr>
      <t>E</t>
    </r>
  </si>
  <si>
    <r>
      <t>Irrigation Labor</t>
    </r>
    <r>
      <rPr>
        <vertAlign val="superscript"/>
        <sz val="11"/>
        <rFont val="Times New Roman"/>
        <family val="1"/>
      </rPr>
      <t>F</t>
    </r>
  </si>
  <si>
    <r>
      <t>Maintenance &amp; Repair</t>
    </r>
    <r>
      <rPr>
        <vertAlign val="superscript"/>
        <sz val="11"/>
        <rFont val="Times New Roman"/>
        <family val="1"/>
      </rPr>
      <t>G</t>
    </r>
  </si>
  <si>
    <r>
      <t>Management Overhead</t>
    </r>
    <r>
      <rPr>
        <vertAlign val="superscript"/>
        <sz val="11"/>
        <rFont val="Times New Roman"/>
        <family val="1"/>
      </rPr>
      <t>I</t>
    </r>
  </si>
  <si>
    <t>E. Refers to miscellaneous or all other labor (lump sum). Rate includes applicable taxes and benefits.</t>
  </si>
  <si>
    <t>I. Includes management salary, cellphone, gas, etc.</t>
  </si>
  <si>
    <t>TOTAL RETURNS ($/acre)</t>
  </si>
  <si>
    <t>Calculate Payback Period of Total Cash Costs</t>
  </si>
  <si>
    <t>Calculate Payback Period of Total Cost</t>
  </si>
  <si>
    <t>10 acres</t>
  </si>
  <si>
    <t>Cider apple variety</t>
  </si>
  <si>
    <t>Tall spindle system</t>
  </si>
  <si>
    <t>Estimated FOB Price ($/bin)</t>
  </si>
  <si>
    <t>FOB Price ($/bin)</t>
  </si>
  <si>
    <t>Land (11 acres)</t>
  </si>
  <si>
    <t>C. The irrigation system, mainline and pump, pond, trellis system, and wind machine are used for the direct production of  the fruit. Hence, their respective interest costs are divided by the production area (10 acres) to get the interest cost per acre.</t>
  </si>
  <si>
    <t>Based on a 900 lb bin; Range for sensitivity analysis - 40 bins to 70 bins per acre during full production.</t>
  </si>
  <si>
    <r>
      <t>Estimated Production (bins/acre)</t>
    </r>
    <r>
      <rPr>
        <vertAlign val="superscript"/>
        <sz val="11"/>
        <rFont val="Times New Roman"/>
        <family val="1"/>
      </rPr>
      <t>B</t>
    </r>
  </si>
  <si>
    <t>B. Bin size is 900 lb.</t>
  </si>
  <si>
    <t>A. Includes amortized establishment costs. Net return is what the grower receives after all production expenses have been accounted.</t>
  </si>
  <si>
    <t>B. Operating expenses is the sum of the total variable costs, miscellaneous supplies, land and property taxes, insurance cost, and management cost.</t>
  </si>
  <si>
    <r>
      <t>Operating Expenses</t>
    </r>
    <r>
      <rPr>
        <vertAlign val="superscript"/>
        <sz val="11"/>
        <rFont val="Times New Roman"/>
        <family val="1"/>
      </rPr>
      <t>B</t>
    </r>
  </si>
  <si>
    <t xml:space="preserve">Harvest </t>
  </si>
  <si>
    <t>Hand labor - baseline</t>
  </si>
  <si>
    <t>Ratio of mechanical labor cost to hand labor cost during harvest</t>
  </si>
  <si>
    <t>Cost of picking labor (by hand), per bin</t>
  </si>
  <si>
    <t>Mechanical harvest efficiency in yield relative to hand harvest</t>
  </si>
  <si>
    <t>Rental of over-the-row small fruit harvester</t>
  </si>
  <si>
    <t>harvester rental</t>
  </si>
  <si>
    <t>Picking</t>
  </si>
  <si>
    <t>Harvester Rental</t>
  </si>
  <si>
    <t>Including clean-up yield (fruit left on trees and groundfalls)</t>
  </si>
  <si>
    <t>Year 5 to 30 (Full Production)</t>
  </si>
  <si>
    <t>Broadcast fertilizer (materials &amp; labor)</t>
  </si>
  <si>
    <t>Cost of cover crop (materials &amp; labor)</t>
  </si>
  <si>
    <t>Labor and tractor cost</t>
  </si>
  <si>
    <t>poles</t>
  </si>
  <si>
    <t>clips and ties</t>
  </si>
  <si>
    <t>intermediate posts</t>
  </si>
  <si>
    <t>ground anchors</t>
  </si>
  <si>
    <t>end posts</t>
  </si>
  <si>
    <t>Pump</t>
  </si>
  <si>
    <t xml:space="preserve">Parts, pvc, tape, valves, in-line filter </t>
  </si>
  <si>
    <t>Pruning and training labor</t>
  </si>
  <si>
    <t>Green fruit thinning labor</t>
  </si>
  <si>
    <t>Cost of chemicals (materials &amp; labor)</t>
  </si>
  <si>
    <t>Manual Pest Control</t>
  </si>
  <si>
    <t>Cost of all fertilizer (materials &amp; labor)</t>
  </si>
  <si>
    <t>Cost of irrigation labor</t>
  </si>
  <si>
    <t>Fuel and lube (lump sum)</t>
  </si>
  <si>
    <t>Cost of manual pest control (labor)</t>
  </si>
  <si>
    <t>broadcast fertilizer (materials and labor)</t>
  </si>
  <si>
    <t>picking</t>
  </si>
  <si>
    <t>A. The full production year is representative of all the remaining years the orchard is in full production (Year 5 to Year 25).</t>
  </si>
  <si>
    <t>Tractor</t>
  </si>
  <si>
    <t>Sprayer</t>
  </si>
  <si>
    <t>Weed sprayer boom &amp; tank</t>
  </si>
  <si>
    <t>Mower, rotary</t>
  </si>
  <si>
    <t>Fork lift</t>
  </si>
  <si>
    <t>Pickup truck</t>
  </si>
  <si>
    <t>Bin trailer</t>
  </si>
  <si>
    <t>Ladders</t>
  </si>
  <si>
    <t>Fence</t>
  </si>
  <si>
    <t>50 hp</t>
  </si>
  <si>
    <t>Air blast sprayer, 100 gal</t>
  </si>
  <si>
    <t>6 ft</t>
  </si>
  <si>
    <t>5000 lb, gas-powered</t>
  </si>
  <si>
    <t>3/4 ton, 4 WD, extended cab</t>
  </si>
  <si>
    <t>8 ft x 16 ft</t>
  </si>
  <si>
    <t>8 ft unit</t>
  </si>
  <si>
    <t>plastic, 900 lb</t>
  </si>
  <si>
    <t>Size or Description</t>
  </si>
  <si>
    <t>Total orchard operation (acres):</t>
  </si>
  <si>
    <t>Production or growing area (acres):</t>
  </si>
  <si>
    <t>This budget is for growing cider apples only. Apples may be used to produce own hard cider or sold to a hard-cider-making operation.  Post-production costs, such as extended storage, juicing, transportation to cidery, and pomace disposal are not included in this budget.</t>
  </si>
  <si>
    <t xml:space="preserve">The size of the orchard operation used in this budget is 10 acres. It is assumed that one acre of the orchard is not used for the direct production of tree fruit; rather, it is dedicated to roads, buildings, storage, etc. Therefore, the total productive area for this orchard is 9 acres.   </t>
  </si>
  <si>
    <t>The cider produced will be hard cider.</t>
  </si>
  <si>
    <t>The orchard is drip irrigated using city water.</t>
  </si>
  <si>
    <t>Cultural tasks and harvest activities are done by hand.</t>
  </si>
  <si>
    <t>The cider apple orchard specifications are as follows:</t>
  </si>
  <si>
    <t xml:space="preserve"> </t>
  </si>
  <si>
    <t>Total cider apple orchard operation</t>
  </si>
  <si>
    <t>Production area</t>
  </si>
  <si>
    <t>9 acres</t>
  </si>
  <si>
    <t>Several varieties (e.g., Kingston Black, Yarlington Mill, Brown Snout, Dabinett, Porter's Perfection, Vilberie, Foxwelp)</t>
  </si>
  <si>
    <t xml:space="preserve">Dwarf - M9 series </t>
  </si>
  <si>
    <t>Central leader system</t>
  </si>
  <si>
    <t xml:space="preserve">5 feet </t>
  </si>
  <si>
    <t>12 feet</t>
  </si>
  <si>
    <t>Commercial life of planting</t>
  </si>
  <si>
    <t>25 years</t>
  </si>
  <si>
    <t>Tree density/acre</t>
  </si>
  <si>
    <t>726 trees</t>
  </si>
  <si>
    <t>10.</t>
  </si>
  <si>
    <t>If grafted cider apple trees are to be planted, growers must contact the nursery and make arrangements at least 18 months in advance of planting.</t>
  </si>
  <si>
    <t>Producers sell apples within 2 weeks of harvest. Apples are stored at the farm in pole barns with no climate control.</t>
  </si>
  <si>
    <t>Bins weigh 900 pounds each (no maintenance, no food safety issues).</t>
  </si>
  <si>
    <t>A. Purchase price corresponds to new machinery, equipment, or building.</t>
  </si>
  <si>
    <t>B. Number of units correspond to the number of bins of cider apples during full production.</t>
  </si>
  <si>
    <t>C. Includes tools for equipment maintenance, trellis building, irrigation maintenance.</t>
  </si>
  <si>
    <t>D. Includes pesticide storage.</t>
  </si>
  <si>
    <r>
      <t>Bins</t>
    </r>
    <r>
      <rPr>
        <vertAlign val="superscript"/>
        <sz val="11"/>
        <color theme="9" tint="-0.249977111117893"/>
        <rFont val="Times New Roman"/>
        <family val="1"/>
      </rPr>
      <t>B</t>
    </r>
  </si>
  <si>
    <r>
      <t>Shop tools, used</t>
    </r>
    <r>
      <rPr>
        <vertAlign val="superscript"/>
        <sz val="11"/>
        <color theme="9" tint="-0.249977111117893"/>
        <rFont val="Times New Roman"/>
        <family val="1"/>
      </rPr>
      <t>C</t>
    </r>
  </si>
  <si>
    <r>
      <t>Machine shop/pole barn</t>
    </r>
    <r>
      <rPr>
        <vertAlign val="superscript"/>
        <sz val="11"/>
        <color theme="9" tint="-0.249977111117893"/>
        <rFont val="Times New Roman"/>
        <family val="1"/>
      </rPr>
      <t>D</t>
    </r>
  </si>
  <si>
    <r>
      <t>Purchase Price ($)</t>
    </r>
    <r>
      <rPr>
        <b/>
        <vertAlign val="superscript"/>
        <sz val="11"/>
        <rFont val="Times New Roman"/>
        <family val="1"/>
      </rPr>
      <t>A</t>
    </r>
  </si>
  <si>
    <t>D. Total area of the farm operation is 10 acres and machinery, equipment, and building are used in the entire farm. Thus, the corresponding interest costs are divided by the total area (10 acres) to derive the interest cost per acre.</t>
  </si>
  <si>
    <r>
      <t>Machinery, Equipment, &amp; Building</t>
    </r>
    <r>
      <rPr>
        <vertAlign val="superscript"/>
        <sz val="11"/>
        <rFont val="Times New Roman"/>
        <family val="1"/>
      </rPr>
      <t>B</t>
    </r>
  </si>
  <si>
    <r>
      <t>Total Interest Cost ($)</t>
    </r>
    <r>
      <rPr>
        <b/>
        <vertAlign val="superscript"/>
        <sz val="11"/>
        <color indexed="8"/>
        <rFont val="Times New Roman"/>
        <family val="1"/>
      </rPr>
      <t>B</t>
    </r>
  </si>
  <si>
    <t>Interest Cost Per Acre ($)</t>
  </si>
  <si>
    <r>
      <t>Machinery, Equipment, &amp; Building</t>
    </r>
    <r>
      <rPr>
        <vertAlign val="superscript"/>
        <sz val="11"/>
        <rFont val="Times New Roman"/>
        <family val="1"/>
      </rPr>
      <t>D,E</t>
    </r>
  </si>
  <si>
    <t>Cost ($/acre)</t>
  </si>
  <si>
    <r>
      <t>Breakeven Return ($/bin)</t>
    </r>
    <r>
      <rPr>
        <b/>
        <vertAlign val="superscript"/>
        <sz val="11"/>
        <rFont val="Times New Roman"/>
        <family val="1"/>
      </rPr>
      <t>A</t>
    </r>
  </si>
  <si>
    <t>Your Cost ($/acre)</t>
  </si>
  <si>
    <t>Your Breakeven Return ($/bin)</t>
  </si>
  <si>
    <t>B</t>
  </si>
  <si>
    <t>Total Cash Costs</t>
  </si>
  <si>
    <t>C</t>
  </si>
  <si>
    <t>= Total Variable Costs + Land &amp; Property Taxes + Insurance Cost + Miscellaneous Supplies</t>
  </si>
  <si>
    <t>Total Cash Costs + Depreciation Costs</t>
  </si>
  <si>
    <t>D</t>
  </si>
  <si>
    <t xml:space="preserve">= Total Cash Costs + Depreciation Costs + Interest Costs + Management Cost </t>
  </si>
  <si>
    <t>E</t>
  </si>
  <si>
    <t>Assumed yield (bins/acre) =</t>
  </si>
  <si>
    <t>Assumed price per bin =</t>
  </si>
  <si>
    <t>A. Breakeven return is calculated as cost divided by yield.</t>
  </si>
  <si>
    <t xml:space="preserve">B. If the return is below this level, cider apples are uneconomical to produce. </t>
  </si>
  <si>
    <t>C. The second breakeven return allows the producer to stay in business in the short run.</t>
  </si>
  <si>
    <t>D. The third breakeven return allows the producer to stay in business in the long run.</t>
  </si>
  <si>
    <r>
      <t xml:space="preserve">E. The fourth breakeven return is the </t>
    </r>
    <r>
      <rPr>
        <b/>
        <i/>
        <sz val="10"/>
        <color indexed="8"/>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</si>
  <si>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r>
      <t>Soil Preparation</t>
    </r>
    <r>
      <rPr>
        <vertAlign val="superscript"/>
        <sz val="11"/>
        <color indexed="8"/>
        <rFont val="Times New Roman"/>
        <family val="1"/>
      </rPr>
      <t>B</t>
    </r>
  </si>
  <si>
    <t>mainline and Pump</t>
  </si>
  <si>
    <r>
      <t>Manual Pest Control</t>
    </r>
    <r>
      <rPr>
        <vertAlign val="superscript"/>
        <sz val="11"/>
        <rFont val="Times New Roman"/>
        <family val="1"/>
      </rPr>
      <t>E</t>
    </r>
  </si>
  <si>
    <t>Fertilizer</t>
  </si>
  <si>
    <r>
      <t>General Farm Labor</t>
    </r>
    <r>
      <rPr>
        <vertAlign val="superscript"/>
        <sz val="11"/>
        <rFont val="Times New Roman"/>
        <family val="1"/>
      </rPr>
      <t>F</t>
    </r>
  </si>
  <si>
    <r>
      <t>Irrigation Labor</t>
    </r>
    <r>
      <rPr>
        <vertAlign val="superscript"/>
        <sz val="11"/>
        <rFont val="Times New Roman"/>
        <family val="1"/>
      </rPr>
      <t>G</t>
    </r>
  </si>
  <si>
    <r>
      <t>Maintenance &amp; Repair</t>
    </r>
    <r>
      <rPr>
        <vertAlign val="superscript"/>
        <sz val="11"/>
        <rFont val="Times New Roman"/>
        <family val="1"/>
      </rPr>
      <t>H</t>
    </r>
  </si>
  <si>
    <r>
      <t>Fertilizer</t>
    </r>
    <r>
      <rPr>
        <vertAlign val="superscript"/>
        <sz val="11"/>
        <rFont val="Times New Roman"/>
        <family val="1"/>
      </rPr>
      <t>J</t>
    </r>
  </si>
  <si>
    <t>A. Includes land for roads and building.</t>
  </si>
  <si>
    <t>B. Costs assume soil preparation of flat (rip and disk rates) and virgin land (no fumigation costs).</t>
  </si>
  <si>
    <t>D. Includes herbicides, insecticides, fungicides, and all other chemicals. Cost includes materials and labor.</t>
  </si>
  <si>
    <t>E. Hand removal of pests, including tent caterpillars.</t>
  </si>
  <si>
    <t>F. Refers to miscellaneous or all other labor (lump sum). Rate includes applicable taxes and benefits.</t>
  </si>
  <si>
    <t>H. Includes irrigation system repair and maintenance, and machinery repair and maintenance.</t>
  </si>
  <si>
    <t>J. Includes all types of fertilizer used. Cost includes materials and labor.</t>
  </si>
  <si>
    <r>
      <t>Manual Pest Control</t>
    </r>
    <r>
      <rPr>
        <vertAlign val="superscript"/>
        <sz val="11"/>
        <rFont val="Times New Roman"/>
        <family val="1"/>
      </rPr>
      <t>C</t>
    </r>
  </si>
  <si>
    <r>
      <t>Management Overhead</t>
    </r>
    <r>
      <rPr>
        <vertAlign val="superscript"/>
        <sz val="11"/>
        <rFont val="Times New Roman"/>
        <family val="1"/>
      </rPr>
      <t>H</t>
    </r>
  </si>
  <si>
    <t>B. Includes herbicides, insecticides, fungicides, and all other chemicals. Cost includes materials and labor.</t>
  </si>
  <si>
    <t>C. Hand removal of pests, including tent caterpillars.</t>
  </si>
  <si>
    <t>D. Includes all types of fertilizer used. Cost includes materials and labor.</t>
  </si>
  <si>
    <t>G. Excludes irrigation system repair.</t>
  </si>
  <si>
    <t>H. Includes management salary, cellphone, gas, etc.</t>
  </si>
  <si>
    <r>
      <t>Shop tools, used</t>
    </r>
    <r>
      <rPr>
        <vertAlign val="superscript"/>
        <sz val="11"/>
        <rFont val="Times New Roman"/>
        <family val="1"/>
      </rPr>
      <t>A</t>
    </r>
  </si>
  <si>
    <r>
      <t>Machine shop/pole barn</t>
    </r>
    <r>
      <rPr>
        <vertAlign val="superscript"/>
        <sz val="11"/>
        <rFont val="Times New Roman"/>
        <family val="1"/>
      </rPr>
      <t>B</t>
    </r>
  </si>
  <si>
    <t>Bins</t>
  </si>
  <si>
    <r>
      <t>Expected useful life (years)</t>
    </r>
    <r>
      <rPr>
        <b/>
        <vertAlign val="superscript"/>
        <sz val="11"/>
        <rFont val="Times New Roman"/>
        <family val="1"/>
      </rPr>
      <t>D</t>
    </r>
  </si>
  <si>
    <r>
      <t>Annual Depreciation Cost ($)</t>
    </r>
    <r>
      <rPr>
        <b/>
        <vertAlign val="superscript"/>
        <sz val="11"/>
        <rFont val="Times New Roman"/>
        <family val="1"/>
      </rPr>
      <t>F</t>
    </r>
  </si>
  <si>
    <r>
      <t>As % of Current Mkt Value</t>
    </r>
    <r>
      <rPr>
        <b/>
        <vertAlign val="superscript"/>
        <sz val="11"/>
        <rFont val="Times New Roman"/>
        <family val="1"/>
      </rPr>
      <t>D</t>
    </r>
  </si>
  <si>
    <r>
      <t>Salvage Value ($)</t>
    </r>
    <r>
      <rPr>
        <b/>
        <vertAlign val="superscript"/>
        <sz val="11"/>
        <rFont val="Times New Roman"/>
        <family val="1"/>
      </rPr>
      <t>E</t>
    </r>
  </si>
  <si>
    <r>
      <t>A.</t>
    </r>
    <r>
      <rPr>
        <vertAlign val="superscript"/>
        <sz val="10"/>
        <rFont val="Times New Roman"/>
        <family val="1"/>
      </rPr>
      <t xml:space="preserve"> </t>
    </r>
    <r>
      <rPr>
        <sz val="10"/>
        <rFont val="Times New Roman"/>
        <family val="1"/>
      </rPr>
      <t>Includes tools for equipment maintenance, trellis building, irrigation maintenance</t>
    </r>
  </si>
  <si>
    <r>
      <t>B.</t>
    </r>
    <r>
      <rPr>
        <vertAlign val="superscript"/>
        <sz val="10"/>
        <rFont val="Times New Roman"/>
        <family val="1"/>
      </rPr>
      <t xml:space="preserve"> </t>
    </r>
    <r>
      <rPr>
        <sz val="10"/>
        <rFont val="Times New Roman"/>
        <family val="1"/>
      </rPr>
      <t>Includes pesticide storage</t>
    </r>
  </si>
  <si>
    <t>C. Purchase price corresponds to new machinery, equipment or building.</t>
  </si>
  <si>
    <t>D. These values  in orange must be changed as applicable to own production setting.</t>
  </si>
  <si>
    <r>
      <t xml:space="preserve">E.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</si>
  <si>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A. </t>
    </r>
    <r>
      <rPr>
        <b/>
        <sz val="11"/>
        <rFont val="Times New Roman"/>
        <family val="1"/>
      </rPr>
      <t>NPV</t>
    </r>
    <r>
      <rPr>
        <sz val="11"/>
        <rFont val="Times New Roman"/>
        <family val="1"/>
      </rPr>
      <t xml:space="preserve"> is the sum of the discounted cash flows from the first year to the last year of the planting’s productive life. Discounting is a method to estimate the present value of future payments by using a discount rate, which represents the time value of money or the opportunity cost of capital. </t>
    </r>
  </si>
  <si>
    <r>
      <t xml:space="preserve">B. The discounted </t>
    </r>
    <r>
      <rPr>
        <b/>
        <sz val="11"/>
        <rFont val="Times New Roman"/>
        <family val="1"/>
      </rPr>
      <t>payback period</t>
    </r>
    <r>
      <rPr>
        <sz val="11"/>
        <rFont val="Times New Roman"/>
        <family val="1"/>
      </rPr>
      <t xml:space="preserve"> gives the number of years it would take to recoup an investment from discounted cash flows.</t>
    </r>
  </si>
  <si>
    <t>C. Total cost = Total cash cost + Management cost + Fixed capital investment. Excludes interest on operating capital and interest on fixed capital.</t>
  </si>
  <si>
    <t>D. Cash costs = Total variable cost + Miscellaneous supplies + Land &amp; property taxes + Insurance cost. Excludes interest on operating capital.</t>
  </si>
  <si>
    <r>
      <t>Total Cost</t>
    </r>
    <r>
      <rPr>
        <b/>
        <vertAlign val="superscript"/>
        <sz val="11"/>
        <color theme="1"/>
        <rFont val="Times New Roman"/>
        <family val="1"/>
      </rPr>
      <t>C</t>
    </r>
  </si>
  <si>
    <r>
      <t>Cash Costs</t>
    </r>
    <r>
      <rPr>
        <b/>
        <vertAlign val="superscript"/>
        <sz val="11"/>
        <color theme="1"/>
        <rFont val="Times New Roman"/>
        <family val="1"/>
      </rPr>
      <t>D</t>
    </r>
  </si>
  <si>
    <t>FOB Price (price at the orchard). Range of cider apple prices in western WA according to Galinato et al survey = $0.25-$0.50/lb</t>
  </si>
  <si>
    <r>
      <t>Yield (bins/acre)</t>
    </r>
    <r>
      <rPr>
        <b/>
        <vertAlign val="superscript"/>
        <sz val="11"/>
        <rFont val="Times New Roman"/>
        <family val="1"/>
      </rPr>
      <t>B</t>
    </r>
    <r>
      <rPr>
        <b/>
        <sz val="11"/>
        <rFont val="Times New Roman"/>
        <family val="1"/>
      </rPr>
      <t xml:space="preserve"> </t>
    </r>
  </si>
  <si>
    <t>B. Assumes a 900 lb bin. Yield takes into account mechanical harvester efficiency</t>
  </si>
  <si>
    <t>Appendix Table B1. Cider apple orchard specifications.</t>
  </si>
  <si>
    <t>Pruning &amp; Training</t>
  </si>
  <si>
    <t>Green Fruit Thinning</t>
  </si>
  <si>
    <t>Irrigation Labor</t>
  </si>
  <si>
    <r>
      <t>Chemicals</t>
    </r>
    <r>
      <rPr>
        <vertAlign val="superscript"/>
        <sz val="11"/>
        <rFont val="Times New Roman"/>
        <family val="1"/>
      </rPr>
      <t>C</t>
    </r>
  </si>
  <si>
    <r>
      <t>Fertilizer</t>
    </r>
    <r>
      <rPr>
        <vertAlign val="superscript"/>
        <sz val="11"/>
        <rFont val="Times New Roman"/>
        <family val="1"/>
      </rPr>
      <t>C</t>
    </r>
  </si>
  <si>
    <r>
      <t>Manual Pest Control</t>
    </r>
    <r>
      <rPr>
        <vertAlign val="superscript"/>
        <sz val="11"/>
        <rFont val="Times New Roman"/>
        <family val="1"/>
      </rPr>
      <t>D</t>
    </r>
  </si>
  <si>
    <r>
      <t>Harvest Activities</t>
    </r>
    <r>
      <rPr>
        <u/>
        <vertAlign val="superscript"/>
        <sz val="11"/>
        <rFont val="Times New Roman"/>
        <family val="1"/>
      </rPr>
      <t>F</t>
    </r>
  </si>
  <si>
    <r>
      <t>Overhead (5% of VC)</t>
    </r>
    <r>
      <rPr>
        <vertAlign val="superscript"/>
        <sz val="11"/>
        <rFont val="Times New Roman"/>
        <family val="1"/>
      </rPr>
      <t>G</t>
    </r>
  </si>
  <si>
    <r>
      <t>Interest (5% of VC)</t>
    </r>
    <r>
      <rPr>
        <vertAlign val="superscript"/>
        <sz val="11"/>
        <rFont val="Times New Roman"/>
        <family val="1"/>
      </rPr>
      <t>H</t>
    </r>
  </si>
  <si>
    <r>
      <t>Land</t>
    </r>
    <r>
      <rPr>
        <vertAlign val="superscript"/>
        <sz val="11"/>
        <rFont val="Times New Roman"/>
        <family val="1"/>
      </rPr>
      <t>I</t>
    </r>
  </si>
  <si>
    <r>
      <t>Amortized Establishment Costs</t>
    </r>
    <r>
      <rPr>
        <vertAlign val="superscript"/>
        <sz val="11"/>
        <rFont val="Times New Roman"/>
        <family val="1"/>
      </rPr>
      <t>J</t>
    </r>
  </si>
  <si>
    <t>C. Includes materials and labor.</t>
  </si>
  <si>
    <t>D. Hand removal of pests, including tent caterpillars.</t>
  </si>
  <si>
    <t>E. General farm labor rate is a lump sum per acre and applied to miscellaneous/all other labor. Rate includes applicable taxes and benefits.</t>
  </si>
  <si>
    <t>F. Hand labor. Picking rate = $83.82 per 900 lb bin.</t>
  </si>
  <si>
    <t>G. Captures indirect costs of operations in the cider apple orchard that fluctuate with the level of production but are not accounted by the variable costs already identified. Also captures unforseeable expenses.</t>
  </si>
  <si>
    <t>H. Interest expense on full year during establishment years and for 3/4 of a year during full production.</t>
  </si>
  <si>
    <t>I. Land cost is approximated by using the 5% interest rate multiplied by the land value. Represents the expected return on land or proxy for land rent.</t>
  </si>
  <si>
    <t>J. Represents the costs incurred during the establishment years (minus revenues during those years) that must be recaptured during the full production years. It is calculated as: accumulated establishment costs in Year 5 amortized at 5% for 21 years.</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</si>
  <si>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5 to Year 25).</t>
    </r>
  </si>
  <si>
    <t>Appendix Table B5. Machinery, Equipment, and Building Requirements for a Cider Apple Orchard Operation in Western Washington</t>
  </si>
  <si>
    <t>E. See Appendix Table B11 for a detailed calculation of the salvage value of machinery, equipment, and building.</t>
  </si>
  <si>
    <t xml:space="preserve">B. See Appendix Table B11 for the calculation of the depreciation cost of the machinery, equipment, and building. </t>
  </si>
  <si>
    <t>Appendix Table B11. Estimation of Salvage Value and Annual Depreciation Cost of Fixed Capital</t>
  </si>
  <si>
    <r>
      <t>Purchase Price (from Appendix Table B5)</t>
    </r>
    <r>
      <rPr>
        <b/>
        <vertAlign val="superscript"/>
        <sz val="11"/>
        <color indexed="8"/>
        <rFont val="Times New Roman"/>
        <family val="1"/>
      </rPr>
      <t>C</t>
    </r>
  </si>
  <si>
    <t>Machine/Equipment/Building (from Appendix Table B5)</t>
  </si>
  <si>
    <t xml:space="preserve">A.Labor rate includes all applicable taxes and benefits. </t>
  </si>
  <si>
    <t>F. Irrigation labor rate includes applicable taxes and benefits.</t>
  </si>
  <si>
    <t>C. Labor rate includes all applicable taxes and benefits. Green fruit thinning starts in Year 2.</t>
  </si>
  <si>
    <t xml:space="preserve">G. Irrigation labor rate includes all applicable taxes and benefits. </t>
  </si>
  <si>
    <t xml:space="preserve">The information in this enterprise budget serves as a general guide for a modern and well-managed cider apple 
orchard as of 2015. To avoid unwarranted conclusions for any particular operation, closely examine the 
assumptions used. If they are not appropriate for your situation, adjust the costs and/or returns as 
appropriate. </t>
  </si>
  <si>
    <r>
      <t xml:space="preserve">Most of the data in this budget are from the enterprise budget developed by Galinato, Gallardo, and Miles (2014) (http://cru.cahe.wsu.edu/CEPublications/FS141E/FS141E.pdf) that serve as the baseline and are adjusted using the prices paid indexes for commodities, services, interest, taxes, and wage rates in 2013 and 2015, which are 106.3 and 110 respectively. The ratio is approximately 1.03. The major differences of this budget are in terms of the crop yield and the cost of harvest activities. The changes in the budget relative to the baseline are highlighted in </t>
    </r>
    <r>
      <rPr>
        <sz val="11"/>
        <color theme="3"/>
        <rFont val="Times New Roman"/>
        <family val="1"/>
      </rPr>
      <t>blue</t>
    </r>
    <r>
      <rPr>
        <sz val="11"/>
        <color indexed="8"/>
        <rFont val="Times New Roman"/>
        <family val="1"/>
      </rPr>
      <t xml:space="preserve"> in Appendix Table B1.</t>
    </r>
  </si>
  <si>
    <r>
      <t xml:space="preserve">Values in </t>
    </r>
    <r>
      <rPr>
        <sz val="11"/>
        <color indexed="53"/>
        <rFont val="Times New Roman"/>
        <family val="1"/>
      </rPr>
      <t>orange</t>
    </r>
    <r>
      <rPr>
        <sz val="11"/>
        <color indexed="8"/>
        <rFont val="Times New Roman"/>
        <family val="1"/>
      </rPr>
      <t xml:space="preserve"> are provided by cooperators who have experience with cider apple production in western Washington. These values should be changed to customize your own production scenario. </t>
    </r>
  </si>
  <si>
    <t>Appendix B: Cost of Establishing, Producing, and Mechanically Harvesting Cider Apples in Western Washington</t>
  </si>
  <si>
    <t>Appendix Table B2. Estimated Costs and Returns per Acre of Establishing, Producing, and Mechanically Harvesting Cider Apples on a 10-Acre Orchard in Western Washington</t>
  </si>
  <si>
    <t>Price is $337.50 per 900-lb bin.</t>
  </si>
  <si>
    <t>Appendix Table B4. Summary of Annual Capital Requirements for a 10-Acre Cider Apple Orchard in Western Washington</t>
  </si>
  <si>
    <r>
      <t>Appendix Table B3. Estimated Net Returns</t>
    </r>
    <r>
      <rPr>
        <b/>
        <vertAlign val="superscript"/>
        <sz val="14"/>
        <rFont val="Times New Roman"/>
        <family val="1"/>
      </rPr>
      <t>A</t>
    </r>
    <r>
      <rPr>
        <b/>
        <sz val="14"/>
        <rFont val="Times New Roman"/>
        <family val="1"/>
      </rPr>
      <t xml:space="preserve"> ($) per Acre at Various Prices and Yields of Cider Apples during Full Production in Western Washington</t>
    </r>
  </si>
  <si>
    <t>Appendix Table B6. Annual Interest Costs per Acre for a 10-Acre Cider Apple Orchard in Western Washington</t>
  </si>
  <si>
    <t>Appendix Table B7. Annual Depreciation Costs per Acre for a 10-Acre Cider Apple Orchard in Western Washington</t>
  </si>
  <si>
    <t>B. Annual interest cost is calculated as: (Total Purchase Price + Salvage Value) ÷ 2 x Interest Rate. For land the calculation is: Total Purchase Price x Interest Rate because there is no salvage value for land.</t>
  </si>
  <si>
    <t>A. Annual depreciation cost is calculated as straight line depreciation: (Total Purchase Price – Salvage Value) ÷ Years of Use.</t>
  </si>
  <si>
    <r>
      <t xml:space="preserve">F. </t>
    </r>
    <r>
      <rPr>
        <i/>
        <sz val="10"/>
        <rFont val="Times New Roman"/>
        <family val="1"/>
      </rPr>
      <t>Depreciation cost</t>
    </r>
    <r>
      <rPr>
        <sz val="10"/>
        <rFont val="Times New Roman"/>
        <family val="1"/>
      </rPr>
      <t xml:space="preserve"> is calculated as straight line depreciation: (Total Purchase Price – Salvage Value) ÷ Years of Use.</t>
    </r>
  </si>
  <si>
    <t>Appendix Table B8.  Breakeven Return ($/bin) at Different Levels of Enterprise Costs during Full Production of Cider Apples (Mechanically Harvested) in Western Washington</t>
  </si>
  <si>
    <t>Appendix Table B9.  Data on Costs During Establishment Years for a 10-Acre Cider Apple Orchard in Western Washington</t>
  </si>
  <si>
    <t>Appendix Table B10. Data on Costs During a Full Production Year for a 10-Acre Cider Apple Orchard in Western Washington</t>
  </si>
  <si>
    <t>Appendix Table B13. Assumptions for Establishing, Producing, and Mechanically Harvesting Cider Apples in Western Washington (Per Acre Basis).</t>
  </si>
  <si>
    <t>Appendix B14. Net Present Value and Payback Period Calculators</t>
  </si>
  <si>
    <t>Appendix Table B12. Amortization Calculator</t>
  </si>
</sst>
</file>

<file path=xl/styles.xml><?xml version="1.0" encoding="utf-8"?>
<styleSheet xmlns="http://schemas.openxmlformats.org/spreadsheetml/2006/main">
  <numFmts count="9">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quot;$&quot;#,##0"/>
    <numFmt numFmtId="169" formatCode="&quot;$&quot;#,##0.0"/>
  </numFmts>
  <fonts count="58">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u/>
      <sz val="11"/>
      <name val="Times New Roman"/>
      <family val="1"/>
    </font>
    <font>
      <vertAlign val="superscript"/>
      <sz val="11"/>
      <name val="Times New Roman"/>
      <family val="1"/>
    </font>
    <font>
      <sz val="10"/>
      <name val="Times New Roman"/>
      <family val="1"/>
    </font>
    <font>
      <sz val="11"/>
      <color indexed="53"/>
      <name val="Times New Roman"/>
      <family val="1"/>
    </font>
    <font>
      <b/>
      <u/>
      <sz val="11"/>
      <name val="Times New Roman"/>
      <family val="1"/>
    </font>
    <font>
      <sz val="12"/>
      <color indexed="8"/>
      <name val="Times New Roman"/>
      <family val="1"/>
    </font>
    <font>
      <sz val="11"/>
      <color indexed="8"/>
      <name val="Times New Roman"/>
      <family val="1"/>
    </font>
    <font>
      <sz val="11"/>
      <color indexed="53"/>
      <name val="Times New Roman"/>
      <family val="1"/>
    </font>
    <font>
      <b/>
      <u/>
      <sz val="11"/>
      <color indexed="8"/>
      <name val="Times New Roman"/>
      <family val="1"/>
    </font>
    <font>
      <sz val="11"/>
      <color indexed="10"/>
      <name val="Times New Roman"/>
      <family val="1"/>
    </font>
    <font>
      <sz val="11"/>
      <color indexed="49"/>
      <name val="Times New Roman"/>
      <family val="1"/>
    </font>
    <font>
      <sz val="8"/>
      <name val="Calibri"/>
      <family val="2"/>
    </font>
    <font>
      <sz val="11"/>
      <color indexed="53"/>
      <name val="Times New Roman"/>
      <family val="1"/>
    </font>
    <font>
      <sz val="11"/>
      <name val="Calibri"/>
      <family val="2"/>
    </font>
    <font>
      <sz val="11"/>
      <color indexed="53"/>
      <name val="Times New Roman"/>
      <family val="1"/>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4"/>
      <name val="Times New Roman"/>
      <family val="1"/>
    </font>
    <font>
      <sz val="11"/>
      <color theme="5"/>
      <name val="Times New Roman"/>
      <family val="1"/>
    </font>
    <font>
      <sz val="10"/>
      <color theme="1"/>
      <name val="Times New Roman"/>
      <family val="1"/>
    </font>
    <font>
      <i/>
      <sz val="10"/>
      <color theme="9" tint="-0.249977111117893"/>
      <name val="Times New Roman"/>
      <family val="1"/>
    </font>
    <font>
      <sz val="11"/>
      <color theme="8" tint="-0.249977111117893"/>
      <name val="Times New Roman"/>
      <family val="1"/>
    </font>
    <font>
      <b/>
      <sz val="14"/>
      <color theme="1"/>
      <name val="Times New Roman"/>
      <family val="1"/>
    </font>
    <font>
      <sz val="11"/>
      <color theme="3"/>
      <name val="Times New Roman"/>
      <family val="1"/>
    </font>
    <font>
      <b/>
      <sz val="11"/>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u/>
      <vertAlign val="superscript"/>
      <sz val="11"/>
      <name val="Times New Roman"/>
      <family val="1"/>
    </font>
    <font>
      <vertAlign val="superscript"/>
      <sz val="10"/>
      <name val="Times New Roman"/>
      <family val="1"/>
    </font>
    <font>
      <sz val="11"/>
      <color rgb="FFC00000"/>
      <name val="Times New Roman"/>
      <family val="1"/>
    </font>
    <font>
      <sz val="10"/>
      <color indexed="53"/>
      <name val="Times New Roman"/>
      <family val="1"/>
    </font>
    <font>
      <b/>
      <vertAlign val="superscript"/>
      <sz val="11"/>
      <color indexed="8"/>
      <name val="Times New Roman"/>
      <family val="1"/>
    </font>
    <font>
      <b/>
      <sz val="11"/>
      <color theme="1"/>
      <name val="Times New Roman"/>
      <family val="1"/>
    </font>
    <font>
      <sz val="10"/>
      <color theme="9" tint="-0.249977111117893"/>
      <name val="Times New Roman"/>
      <family val="1"/>
    </font>
    <font>
      <b/>
      <vertAlign val="superscript"/>
      <sz val="14"/>
      <name val="Times New Roman"/>
      <family val="1"/>
    </font>
    <font>
      <sz val="12"/>
      <color indexed="49"/>
      <name val="Times New Roman"/>
      <family val="1"/>
    </font>
    <font>
      <sz val="12"/>
      <name val="Times New Roman"/>
      <family val="1"/>
    </font>
    <font>
      <sz val="12"/>
      <color indexed="10"/>
      <name val="Times New Roman"/>
      <family val="1"/>
    </font>
    <font>
      <vertAlign val="superscript"/>
      <sz val="11"/>
      <color theme="9" tint="-0.249977111117893"/>
      <name val="Times New Roman"/>
      <family val="1"/>
    </font>
    <font>
      <b/>
      <i/>
      <sz val="10"/>
      <color indexed="8"/>
      <name val="Times New Roman"/>
      <family val="1"/>
    </font>
    <font>
      <u/>
      <sz val="10"/>
      <color indexed="8"/>
      <name val="Times New Roman"/>
      <family val="1"/>
    </font>
    <font>
      <b/>
      <vertAlign val="superscript"/>
      <sz val="11"/>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3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thin">
        <color auto="1"/>
      </top>
      <bottom style="thin">
        <color indexed="55"/>
      </bottom>
      <diagonal/>
    </border>
    <border>
      <left/>
      <right/>
      <top/>
      <bottom style="thin">
        <color indexed="55"/>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indexed="64"/>
      </bottom>
      <diagonal/>
    </border>
    <border>
      <left/>
      <right/>
      <top style="thin">
        <color indexed="55"/>
      </top>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top/>
      <bottom style="thin">
        <color indexed="55"/>
      </bottom>
      <diagonal/>
    </border>
    <border>
      <left/>
      <right/>
      <top/>
      <bottom style="thin">
        <color auto="1"/>
      </bottom>
      <diagonal/>
    </border>
    <border>
      <left/>
      <right/>
      <top/>
      <bottom style="thin">
        <color indexed="64"/>
      </bottom>
      <diagonal/>
    </border>
    <border>
      <left/>
      <right/>
      <top/>
      <bottom style="thin">
        <color theme="0" tint="-0.24994659260841701"/>
      </bottom>
      <diagonal/>
    </border>
    <border>
      <left/>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s>
  <cellStyleXfs count="20">
    <xf numFmtId="0" fontId="0" fillId="0" borderId="0"/>
    <xf numFmtId="44"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500">
    <xf numFmtId="0" fontId="0" fillId="0" borderId="0" xfId="0"/>
    <xf numFmtId="0" fontId="7" fillId="2" borderId="0" xfId="0" applyFont="1" applyFill="1" applyBorder="1"/>
    <xf numFmtId="0" fontId="7" fillId="2" borderId="0" xfId="0" applyFont="1" applyFill="1" applyBorder="1" applyAlignment="1">
      <alignment horizontal="center"/>
    </xf>
    <xf numFmtId="0" fontId="7" fillId="2" borderId="0" xfId="0" applyFont="1" applyFill="1"/>
    <xf numFmtId="0" fontId="16" fillId="2" borderId="0" xfId="0" applyFont="1" applyFill="1"/>
    <xf numFmtId="0" fontId="7" fillId="2" borderId="1" xfId="0" applyFont="1" applyFill="1" applyBorder="1"/>
    <xf numFmtId="4" fontId="7" fillId="2" borderId="0" xfId="0" applyNumberFormat="1" applyFont="1" applyFill="1" applyAlignment="1">
      <alignment horizontal="right" vertical="center" indent="2"/>
    </xf>
    <xf numFmtId="4" fontId="7" fillId="2" borderId="0" xfId="0" applyNumberFormat="1" applyFont="1" applyFill="1" applyBorder="1" applyAlignment="1">
      <alignment horizontal="right" vertical="center" indent="2"/>
    </xf>
    <xf numFmtId="0" fontId="9" fillId="2" borderId="0" xfId="0" applyFont="1" applyFill="1" applyBorder="1"/>
    <xf numFmtId="0" fontId="7" fillId="2" borderId="0" xfId="0" applyFont="1" applyFill="1" applyAlignment="1">
      <alignment horizontal="left" indent="1"/>
    </xf>
    <xf numFmtId="0" fontId="9" fillId="2" borderId="1" xfId="0" applyFont="1" applyFill="1" applyBorder="1"/>
    <xf numFmtId="0" fontId="12" fillId="2" borderId="0" xfId="0" applyFont="1" applyFill="1"/>
    <xf numFmtId="0" fontId="7" fillId="2" borderId="0" xfId="0" applyFont="1" applyFill="1" applyAlignment="1">
      <alignment horizontal="center"/>
    </xf>
    <xf numFmtId="0" fontId="7" fillId="2" borderId="2" xfId="0" applyFont="1" applyFill="1" applyBorder="1"/>
    <xf numFmtId="0" fontId="23" fillId="2" borderId="0" xfId="0" applyFont="1" applyFill="1"/>
    <xf numFmtId="43" fontId="7" fillId="2" borderId="0" xfId="0" applyNumberFormat="1" applyFont="1" applyFill="1"/>
    <xf numFmtId="0" fontId="9" fillId="2" borderId="0" xfId="0" applyFont="1" applyFill="1" applyAlignment="1">
      <alignment horizontal="left"/>
    </xf>
    <xf numFmtId="39" fontId="7" fillId="2" borderId="0" xfId="0" applyNumberFormat="1" applyFont="1" applyFill="1"/>
    <xf numFmtId="39" fontId="7" fillId="2" borderId="1" xfId="0" applyNumberFormat="1" applyFont="1" applyFill="1" applyBorder="1"/>
    <xf numFmtId="0" fontId="8" fillId="2" borderId="0" xfId="0" applyFont="1" applyFill="1" applyBorder="1" applyAlignment="1">
      <alignment wrapText="1"/>
    </xf>
    <xf numFmtId="0" fontId="0" fillId="2" borderId="0" xfId="0" applyFill="1"/>
    <xf numFmtId="0" fontId="5" fillId="2" borderId="3" xfId="0" applyFont="1" applyFill="1" applyBorder="1" applyAlignment="1">
      <alignment horizontal="left" wrapText="1"/>
    </xf>
    <xf numFmtId="0" fontId="5" fillId="2" borderId="3" xfId="0" applyFont="1" applyFill="1" applyBorder="1" applyAlignment="1">
      <alignment horizontal="center" wrapText="1"/>
    </xf>
    <xf numFmtId="3" fontId="16" fillId="2" borderId="0" xfId="0" applyNumberFormat="1" applyFont="1" applyFill="1" applyAlignment="1">
      <alignment horizontal="right" vertical="center" indent="3"/>
    </xf>
    <xf numFmtId="0" fontId="16" fillId="2" borderId="0" xfId="0" applyFont="1" applyFill="1" applyBorder="1"/>
    <xf numFmtId="0" fontId="2" fillId="2" borderId="0" xfId="0" applyFont="1" applyFill="1" applyBorder="1" applyAlignment="1">
      <alignment wrapText="1"/>
    </xf>
    <xf numFmtId="3" fontId="7" fillId="2" borderId="0" xfId="0" applyNumberFormat="1" applyFont="1" applyFill="1" applyAlignment="1">
      <alignment horizontal="right" vertical="center" indent="3"/>
    </xf>
    <xf numFmtId="4" fontId="16" fillId="2" borderId="0" xfId="0" applyNumberFormat="1" applyFont="1" applyFill="1" applyAlignment="1">
      <alignment horizontal="right" vertical="center" indent="4"/>
    </xf>
    <xf numFmtId="4" fontId="16" fillId="2" borderId="0" xfId="0" applyNumberFormat="1" applyFont="1" applyFill="1"/>
    <xf numFmtId="0" fontId="16" fillId="2" borderId="1" xfId="0" applyFont="1" applyFill="1" applyBorder="1"/>
    <xf numFmtId="4" fontId="16" fillId="2" borderId="0" xfId="0" applyNumberFormat="1" applyFont="1" applyFill="1" applyAlignment="1">
      <alignment horizontal="right" vertical="center" indent="3"/>
    </xf>
    <xf numFmtId="0" fontId="6" fillId="2" borderId="0" xfId="0" applyFont="1" applyFill="1"/>
    <xf numFmtId="0" fontId="4" fillId="2" borderId="0" xfId="0" applyFont="1" applyFill="1"/>
    <xf numFmtId="0" fontId="16" fillId="2" borderId="0" xfId="0" quotePrefix="1" applyFont="1" applyFill="1"/>
    <xf numFmtId="4" fontId="16" fillId="2" borderId="0" xfId="0" applyNumberFormat="1" applyFont="1" applyFill="1" applyBorder="1" applyAlignment="1">
      <alignment horizontal="right" indent="1"/>
    </xf>
    <xf numFmtId="0" fontId="20" fillId="2" borderId="0" xfId="0" applyFont="1" applyFill="1" applyAlignment="1">
      <alignment horizontal="right"/>
    </xf>
    <xf numFmtId="0" fontId="24" fillId="2" borderId="0" xfId="0" applyFont="1" applyFill="1"/>
    <xf numFmtId="3" fontId="7" fillId="2" borderId="0" xfId="0" applyNumberFormat="1" applyFont="1" applyFill="1" applyAlignment="1">
      <alignment horizontal="right" vertical="center" indent="5"/>
    </xf>
    <xf numFmtId="0" fontId="15" fillId="3" borderId="0" xfId="0" applyFont="1" applyFill="1" applyAlignment="1">
      <alignment horizontal="center"/>
    </xf>
    <xf numFmtId="0" fontId="15" fillId="3" borderId="0" xfId="0" applyFont="1" applyFill="1"/>
    <xf numFmtId="0" fontId="16" fillId="3" borderId="0" xfId="0" applyFont="1" applyFill="1" applyAlignment="1">
      <alignment horizontal="center"/>
    </xf>
    <xf numFmtId="0" fontId="7" fillId="3" borderId="0" xfId="0" applyFont="1" applyFill="1"/>
    <xf numFmtId="0" fontId="16" fillId="3" borderId="0" xfId="0" applyFont="1" applyFill="1"/>
    <xf numFmtId="43" fontId="7" fillId="3" borderId="0" xfId="0" applyNumberFormat="1" applyFont="1" applyFill="1" applyAlignment="1">
      <alignment horizontal="right"/>
    </xf>
    <xf numFmtId="4" fontId="7" fillId="3" borderId="0" xfId="0" applyNumberFormat="1" applyFont="1" applyFill="1" applyAlignment="1">
      <alignment horizontal="right" vertical="center" indent="2"/>
    </xf>
    <xf numFmtId="4" fontId="7" fillId="3" borderId="0" xfId="0" applyNumberFormat="1" applyFont="1" applyFill="1" applyBorder="1" applyAlignment="1">
      <alignment horizontal="right" vertical="center" indent="2"/>
    </xf>
    <xf numFmtId="0" fontId="9" fillId="3" borderId="0" xfId="0" applyFont="1" applyFill="1" applyBorder="1"/>
    <xf numFmtId="43" fontId="7" fillId="3" borderId="1" xfId="0" applyNumberFormat="1" applyFont="1" applyFill="1" applyBorder="1" applyAlignment="1">
      <alignment horizontal="right"/>
    </xf>
    <xf numFmtId="4" fontId="7" fillId="3" borderId="1" xfId="0" applyNumberFormat="1" applyFont="1" applyFill="1" applyBorder="1" applyAlignment="1">
      <alignment horizontal="right" vertical="center" indent="2"/>
    </xf>
    <xf numFmtId="43" fontId="7" fillId="3" borderId="0" xfId="0" applyNumberFormat="1" applyFont="1" applyFill="1" applyBorder="1" applyAlignment="1">
      <alignment horizontal="right"/>
    </xf>
    <xf numFmtId="0" fontId="9" fillId="3" borderId="0" xfId="0" applyFont="1" applyFill="1"/>
    <xf numFmtId="0" fontId="10" fillId="3" borderId="0" xfId="0" applyFont="1" applyFill="1" applyAlignment="1">
      <alignment horizontal="left"/>
    </xf>
    <xf numFmtId="0" fontId="7" fillId="3" borderId="0" xfId="0" applyFont="1" applyFill="1" applyAlignment="1">
      <alignment horizontal="left" indent="1"/>
    </xf>
    <xf numFmtId="4" fontId="7" fillId="3" borderId="0" xfId="0" applyNumberFormat="1" applyFont="1" applyFill="1" applyAlignment="1">
      <alignment horizontal="right" indent="2"/>
    </xf>
    <xf numFmtId="4" fontId="7" fillId="3" borderId="0" xfId="0" applyNumberFormat="1" applyFont="1" applyFill="1" applyBorder="1" applyAlignment="1">
      <alignment horizontal="right" vertical="center" indent="3"/>
    </xf>
    <xf numFmtId="0" fontId="10" fillId="3" borderId="0" xfId="0" applyFont="1" applyFill="1"/>
    <xf numFmtId="0" fontId="9" fillId="3" borderId="1" xfId="0" applyFont="1" applyFill="1" applyBorder="1"/>
    <xf numFmtId="0" fontId="12" fillId="3" borderId="0" xfId="0" applyFont="1" applyFill="1"/>
    <xf numFmtId="43" fontId="7" fillId="3" borderId="0" xfId="0" applyNumberFormat="1" applyFont="1" applyFill="1" applyAlignment="1" applyProtection="1">
      <alignment horizontal="right"/>
      <protection locked="0"/>
    </xf>
    <xf numFmtId="4" fontId="7" fillId="3" borderId="0" xfId="0" applyNumberFormat="1" applyFont="1" applyFill="1" applyAlignment="1" applyProtection="1">
      <alignment horizontal="right" vertical="center" indent="2"/>
      <protection locked="0"/>
    </xf>
    <xf numFmtId="0" fontId="28" fillId="3" borderId="0" xfId="0" applyFont="1" applyFill="1" applyBorder="1" applyAlignment="1">
      <alignment horizontal="left"/>
    </xf>
    <xf numFmtId="0" fontId="28" fillId="3" borderId="0" xfId="0" applyFont="1" applyFill="1" applyAlignment="1">
      <alignment horizontal="left" indent="1"/>
    </xf>
    <xf numFmtId="4" fontId="29" fillId="3" borderId="0" xfId="0" applyNumberFormat="1" applyFont="1" applyFill="1" applyAlignment="1" applyProtection="1">
      <alignment horizontal="right" vertical="center" indent="2"/>
      <protection locked="0"/>
    </xf>
    <xf numFmtId="4" fontId="6" fillId="2" borderId="0" xfId="0" applyNumberFormat="1" applyFont="1" applyFill="1"/>
    <xf numFmtId="4" fontId="30" fillId="3" borderId="0" xfId="0" applyNumberFormat="1" applyFont="1" applyFill="1" applyAlignment="1" applyProtection="1">
      <alignment horizontal="right" vertical="center" indent="2"/>
      <protection locked="0"/>
    </xf>
    <xf numFmtId="4" fontId="31" fillId="3" borderId="0" xfId="0" quotePrefix="1" applyNumberFormat="1" applyFont="1" applyFill="1"/>
    <xf numFmtId="4" fontId="30" fillId="3" borderId="0" xfId="0" applyNumberFormat="1" applyFont="1" applyFill="1" applyBorder="1" applyAlignment="1" applyProtection="1">
      <alignment horizontal="right" vertical="center" indent="2"/>
      <protection locked="0"/>
    </xf>
    <xf numFmtId="0" fontId="6" fillId="3" borderId="0" xfId="0" quotePrefix="1" applyFont="1" applyFill="1"/>
    <xf numFmtId="0" fontId="6" fillId="3" borderId="0" xfId="0" applyFont="1" applyFill="1"/>
    <xf numFmtId="0" fontId="32" fillId="3" borderId="0" xfId="0" applyFont="1" applyFill="1"/>
    <xf numFmtId="0" fontId="32" fillId="3" borderId="0" xfId="0" quotePrefix="1" applyFont="1" applyFill="1"/>
    <xf numFmtId="0" fontId="5" fillId="3" borderId="3" xfId="0" applyFont="1" applyFill="1" applyBorder="1" applyAlignment="1">
      <alignment horizontal="left" wrapText="1"/>
    </xf>
    <xf numFmtId="0" fontId="18" fillId="3" borderId="0" xfId="0" applyFont="1" applyFill="1"/>
    <xf numFmtId="0" fontId="6" fillId="3" borderId="0" xfId="0" applyFont="1" applyFill="1" applyAlignment="1">
      <alignment horizontal="left" indent="1"/>
    </xf>
    <xf numFmtId="0" fontId="7" fillId="3" borderId="0" xfId="0" applyFont="1" applyFill="1" applyBorder="1" applyAlignment="1">
      <alignment horizontal="left"/>
    </xf>
    <xf numFmtId="0" fontId="7" fillId="3" borderId="0" xfId="0" applyFont="1" applyFill="1" applyAlignment="1">
      <alignment horizontal="left"/>
    </xf>
    <xf numFmtId="0" fontId="16" fillId="3" borderId="0" xfId="0" applyFont="1" applyFill="1" applyBorder="1" applyAlignment="1">
      <alignment horizontal="left" indent="1"/>
    </xf>
    <xf numFmtId="0" fontId="28" fillId="3" borderId="0" xfId="0" applyFont="1" applyFill="1" applyBorder="1" applyAlignment="1">
      <alignment horizontal="left" indent="1"/>
    </xf>
    <xf numFmtId="0" fontId="9" fillId="3" borderId="0" xfId="0" applyFont="1" applyFill="1" applyAlignment="1">
      <alignment horizontal="left" indent="1"/>
    </xf>
    <xf numFmtId="0" fontId="14" fillId="3" borderId="0" xfId="0" applyFont="1" applyFill="1"/>
    <xf numFmtId="0" fontId="28" fillId="3" borderId="0" xfId="0" applyFont="1" applyFill="1" applyBorder="1" applyAlignment="1"/>
    <xf numFmtId="0" fontId="32" fillId="3" borderId="0" xfId="0" applyFont="1" applyFill="1" applyBorder="1"/>
    <xf numFmtId="0" fontId="6" fillId="2" borderId="0" xfId="0" applyFont="1" applyFill="1" applyBorder="1" applyAlignment="1">
      <alignment horizontal="left" indent="1"/>
    </xf>
    <xf numFmtId="0" fontId="7" fillId="2" borderId="0" xfId="0" applyFont="1" applyFill="1" applyAlignment="1">
      <alignment vertical="top" wrapText="1"/>
    </xf>
    <xf numFmtId="0" fontId="16" fillId="3" borderId="0" xfId="0" applyFont="1" applyFill="1" applyBorder="1"/>
    <xf numFmtId="0" fontId="28" fillId="3" borderId="0" xfId="0" applyFont="1" applyFill="1"/>
    <xf numFmtId="0" fontId="33" fillId="3" borderId="0" xfId="0" applyFont="1" applyFill="1"/>
    <xf numFmtId="4" fontId="30" fillId="3" borderId="1" xfId="0" applyNumberFormat="1" applyFont="1" applyFill="1" applyBorder="1" applyAlignment="1" applyProtection="1">
      <alignment horizontal="right" vertical="center" indent="2"/>
      <protection locked="0"/>
    </xf>
    <xf numFmtId="39" fontId="7" fillId="3" borderId="0" xfId="0" applyNumberFormat="1" applyFont="1" applyFill="1" applyBorder="1" applyAlignment="1">
      <alignment horizontal="right" vertical="center" indent="2"/>
    </xf>
    <xf numFmtId="4" fontId="7" fillId="3" borderId="0" xfId="0" applyNumberFormat="1" applyFont="1" applyFill="1" applyBorder="1" applyAlignment="1">
      <alignment horizontal="right" indent="1"/>
    </xf>
    <xf numFmtId="4" fontId="7" fillId="3" borderId="0" xfId="0" applyNumberFormat="1" applyFont="1" applyFill="1" applyBorder="1" applyAlignment="1" applyProtection="1">
      <alignment horizontal="right" indent="1"/>
      <protection locked="0"/>
    </xf>
    <xf numFmtId="0" fontId="6" fillId="2" borderId="0" xfId="0" applyFont="1" applyFill="1" applyBorder="1"/>
    <xf numFmtId="0" fontId="23" fillId="2" borderId="0" xfId="0" quotePrefix="1" applyFont="1" applyFill="1"/>
    <xf numFmtId="0" fontId="5" fillId="3" borderId="3" xfId="0" applyFont="1" applyFill="1" applyBorder="1" applyAlignment="1">
      <alignment horizontal="center" wrapText="1"/>
    </xf>
    <xf numFmtId="0" fontId="5" fillId="3" borderId="1" xfId="0" applyFont="1" applyFill="1" applyBorder="1" applyAlignment="1">
      <alignment horizontal="center" wrapText="1"/>
    </xf>
    <xf numFmtId="4" fontId="16" fillId="3" borderId="0" xfId="0" applyNumberFormat="1" applyFont="1" applyFill="1" applyAlignment="1">
      <alignment horizontal="right" vertical="center" indent="2"/>
    </xf>
    <xf numFmtId="3" fontId="7" fillId="3" borderId="0" xfId="0" applyNumberFormat="1" applyFont="1" applyFill="1" applyAlignment="1">
      <alignment horizontal="right" vertical="center" indent="4"/>
    </xf>
    <xf numFmtId="0" fontId="35" fillId="3" borderId="0" xfId="0" quotePrefix="1" applyFont="1" applyFill="1"/>
    <xf numFmtId="0" fontId="29" fillId="3" borderId="0" xfId="0" applyFont="1" applyFill="1"/>
    <xf numFmtId="0" fontId="35" fillId="3" borderId="0" xfId="0" applyFont="1" applyFill="1"/>
    <xf numFmtId="4" fontId="16" fillId="3" borderId="0" xfId="0" applyNumberFormat="1" applyFont="1" applyFill="1"/>
    <xf numFmtId="3" fontId="29" fillId="3" borderId="0" xfId="0" applyNumberFormat="1" applyFont="1" applyFill="1" applyAlignment="1" applyProtection="1">
      <alignment horizontal="right" vertical="center" indent="4"/>
      <protection locked="0"/>
    </xf>
    <xf numFmtId="4" fontId="30" fillId="3" borderId="0" xfId="0" applyNumberFormat="1" applyFont="1" applyFill="1" applyAlignment="1">
      <alignment horizontal="right" vertical="center" indent="2"/>
    </xf>
    <xf numFmtId="0" fontId="24" fillId="3" borderId="0" xfId="0" applyFont="1" applyFill="1"/>
    <xf numFmtId="4" fontId="29" fillId="3" borderId="0" xfId="0" applyNumberFormat="1" applyFont="1" applyFill="1" applyAlignment="1">
      <alignment horizontal="right" vertical="center" indent="2"/>
    </xf>
    <xf numFmtId="4" fontId="17" fillId="3" borderId="0" xfId="0" applyNumberFormat="1" applyFont="1" applyFill="1" applyAlignment="1">
      <alignment horizontal="right" vertical="center" indent="2"/>
    </xf>
    <xf numFmtId="3" fontId="30" fillId="3" borderId="0" xfId="0" applyNumberFormat="1" applyFont="1" applyFill="1" applyAlignment="1" applyProtection="1">
      <alignment horizontal="right" vertical="center" indent="4"/>
      <protection locked="0"/>
    </xf>
    <xf numFmtId="164" fontId="16" fillId="3" borderId="0" xfId="0" applyNumberFormat="1" applyFont="1" applyFill="1"/>
    <xf numFmtId="0" fontId="31" fillId="3" borderId="0" xfId="0" quotePrefix="1" applyFont="1" applyFill="1"/>
    <xf numFmtId="4" fontId="22" fillId="3" borderId="0" xfId="0" applyNumberFormat="1" applyFont="1" applyFill="1" applyAlignment="1">
      <alignment horizontal="right" vertical="center" indent="2"/>
    </xf>
    <xf numFmtId="4" fontId="16" fillId="3" borderId="0" xfId="0" applyNumberFormat="1" applyFont="1" applyFill="1" applyBorder="1" applyAlignment="1">
      <alignment horizontal="right" vertical="center" indent="2"/>
    </xf>
    <xf numFmtId="3" fontId="16" fillId="3" borderId="0" xfId="0" applyNumberFormat="1" applyFont="1" applyFill="1" applyBorder="1" applyAlignment="1">
      <alignment horizontal="right" vertical="center" indent="4"/>
    </xf>
    <xf numFmtId="3" fontId="16" fillId="3" borderId="0" xfId="0" applyNumberFormat="1" applyFont="1" applyFill="1" applyAlignment="1">
      <alignment horizontal="right" vertical="center" indent="4"/>
    </xf>
    <xf numFmtId="0" fontId="31" fillId="3" borderId="0" xfId="0" applyFont="1" applyFill="1"/>
    <xf numFmtId="4" fontId="19" fillId="3" borderId="0" xfId="0" applyNumberFormat="1" applyFont="1" applyFill="1" applyAlignment="1">
      <alignment horizontal="right" vertical="center" indent="2"/>
    </xf>
    <xf numFmtId="3" fontId="19" fillId="3" borderId="0" xfId="0" applyNumberFormat="1" applyFont="1" applyFill="1" applyAlignment="1">
      <alignment horizontal="right" vertical="center" indent="4"/>
    </xf>
    <xf numFmtId="4" fontId="17" fillId="3" borderId="0" xfId="0" applyNumberFormat="1" applyFont="1" applyFill="1" applyBorder="1" applyAlignment="1">
      <alignment horizontal="right" vertical="center" indent="2"/>
    </xf>
    <xf numFmtId="4" fontId="16" fillId="3" borderId="0" xfId="0" applyNumberFormat="1" applyFont="1" applyFill="1" applyAlignment="1">
      <alignment horizontal="center" vertical="center"/>
    </xf>
    <xf numFmtId="3" fontId="17" fillId="3" borderId="0" xfId="0" applyNumberFormat="1" applyFont="1" applyFill="1" applyAlignment="1">
      <alignment horizontal="center" vertical="center"/>
    </xf>
    <xf numFmtId="3" fontId="17" fillId="3" borderId="0" xfId="0" applyNumberFormat="1" applyFont="1" applyFill="1" applyAlignment="1">
      <alignment vertical="center"/>
    </xf>
    <xf numFmtId="4" fontId="24" fillId="3" borderId="0" xfId="0" applyNumberFormat="1" applyFont="1" applyFill="1" applyAlignment="1">
      <alignment horizontal="right" vertical="center" indent="2"/>
    </xf>
    <xf numFmtId="4" fontId="31" fillId="3" borderId="0" xfId="0" quotePrefix="1" applyNumberFormat="1" applyFont="1" applyFill="1" applyAlignment="1">
      <alignment horizontal="left" vertical="center" indent="2"/>
    </xf>
    <xf numFmtId="3" fontId="17" fillId="3" borderId="0" xfId="0" applyNumberFormat="1" applyFont="1" applyFill="1" applyAlignment="1">
      <alignment horizontal="right" vertical="center" indent="4"/>
    </xf>
    <xf numFmtId="3" fontId="7" fillId="3" borderId="0" xfId="0" applyNumberFormat="1" applyFont="1" applyFill="1" applyAlignment="1">
      <alignment horizontal="center" vertical="center"/>
    </xf>
    <xf numFmtId="166" fontId="29" fillId="3" borderId="0" xfId="0" applyNumberFormat="1" applyFont="1" applyFill="1" applyAlignment="1" applyProtection="1">
      <alignment horizontal="right" vertical="center" indent="2"/>
      <protection locked="0"/>
    </xf>
    <xf numFmtId="3" fontId="30" fillId="3" borderId="0" xfId="0" applyNumberFormat="1" applyFont="1" applyFill="1" applyBorder="1" applyAlignment="1" applyProtection="1">
      <alignment horizontal="right" vertical="center" indent="4"/>
      <protection locked="0"/>
    </xf>
    <xf numFmtId="3" fontId="7" fillId="3" borderId="0" xfId="0" applyNumberFormat="1" applyFont="1" applyFill="1" applyAlignment="1" applyProtection="1">
      <alignment horizontal="center" vertical="center"/>
      <protection locked="0"/>
    </xf>
    <xf numFmtId="3" fontId="16" fillId="3" borderId="0" xfId="0" applyNumberFormat="1" applyFont="1" applyFill="1" applyAlignment="1">
      <alignment horizontal="center" vertical="center"/>
    </xf>
    <xf numFmtId="164" fontId="6" fillId="3" borderId="0" xfId="1" applyNumberFormat="1" applyFont="1" applyFill="1"/>
    <xf numFmtId="0" fontId="29" fillId="3" borderId="0" xfId="0" applyFont="1" applyFill="1" applyProtection="1">
      <protection locked="0"/>
    </xf>
    <xf numFmtId="3" fontId="16" fillId="3" borderId="0" xfId="0" applyNumberFormat="1" applyFont="1" applyFill="1"/>
    <xf numFmtId="167" fontId="7" fillId="2" borderId="0" xfId="0" applyNumberFormat="1" applyFont="1" applyFill="1" applyBorder="1" applyAlignment="1">
      <alignment horizontal="right" indent="1"/>
    </xf>
    <xf numFmtId="167" fontId="16" fillId="2" borderId="1" xfId="0" applyNumberFormat="1" applyFont="1" applyFill="1" applyBorder="1" applyAlignment="1">
      <alignment horizontal="right" indent="1"/>
    </xf>
    <xf numFmtId="0" fontId="37" fillId="3" borderId="0" xfId="0" applyFont="1" applyFill="1"/>
    <xf numFmtId="4" fontId="37" fillId="3" borderId="0" xfId="0" quotePrefix="1" applyNumberFormat="1" applyFont="1" applyFill="1"/>
    <xf numFmtId="4" fontId="37" fillId="3" borderId="0" xfId="0" applyNumberFormat="1" applyFont="1" applyFill="1" applyAlignment="1">
      <alignment horizontal="right" vertical="center" indent="2"/>
    </xf>
    <xf numFmtId="0" fontId="37" fillId="3" borderId="0" xfId="0" quotePrefix="1" applyFont="1" applyFill="1"/>
    <xf numFmtId="0" fontId="7" fillId="0" borderId="0" xfId="0" applyFont="1" applyFill="1" applyAlignment="1">
      <alignment horizontal="left"/>
    </xf>
    <xf numFmtId="0" fontId="7" fillId="0" borderId="0" xfId="0" applyFont="1" applyFill="1"/>
    <xf numFmtId="0" fontId="7" fillId="2" borderId="0" xfId="0" applyFont="1" applyFill="1" applyBorder="1" applyAlignment="1">
      <alignment horizontal="left"/>
    </xf>
    <xf numFmtId="3" fontId="7" fillId="2" borderId="0" xfId="0" applyNumberFormat="1" applyFont="1" applyFill="1" applyBorder="1" applyAlignment="1">
      <alignment horizontal="right" vertical="center" indent="3"/>
    </xf>
    <xf numFmtId="3" fontId="30" fillId="2" borderId="0" xfId="0" applyNumberFormat="1" applyFont="1" applyFill="1" applyAlignment="1" applyProtection="1">
      <alignment horizontal="right" vertical="center" indent="3"/>
      <protection locked="0"/>
    </xf>
    <xf numFmtId="3" fontId="30" fillId="2" borderId="0" xfId="0" applyNumberFormat="1" applyFont="1" applyFill="1" applyAlignment="1" applyProtection="1">
      <alignment horizontal="center" vertical="center"/>
      <protection locked="0"/>
    </xf>
    <xf numFmtId="3" fontId="30" fillId="2" borderId="0" xfId="0" applyNumberFormat="1" applyFont="1" applyFill="1" applyBorder="1" applyAlignment="1" applyProtection="1">
      <alignment horizontal="right" vertical="center" indent="3"/>
      <protection locked="0"/>
    </xf>
    <xf numFmtId="3" fontId="30" fillId="2" borderId="0" xfId="0" applyNumberFormat="1" applyFont="1" applyFill="1" applyBorder="1" applyAlignment="1" applyProtection="1">
      <alignment horizontal="center" vertical="center"/>
      <protection locked="0"/>
    </xf>
    <xf numFmtId="3" fontId="30" fillId="2" borderId="0" xfId="0" applyNumberFormat="1" applyFont="1" applyFill="1" applyAlignment="1" applyProtection="1">
      <alignment horizontal="right" vertical="center" indent="4"/>
      <protection locked="0"/>
    </xf>
    <xf numFmtId="0" fontId="7" fillId="0" borderId="8" xfId="0" applyFont="1" applyFill="1" applyBorder="1"/>
    <xf numFmtId="167" fontId="7" fillId="0" borderId="0" xfId="0" applyNumberFormat="1" applyFont="1" applyFill="1" applyBorder="1"/>
    <xf numFmtId="4" fontId="30" fillId="2" borderId="0" xfId="0" applyNumberFormat="1" applyFont="1" applyFill="1" applyBorder="1" applyAlignment="1" applyProtection="1">
      <alignment horizontal="right" indent="1"/>
      <protection locked="0"/>
    </xf>
    <xf numFmtId="37" fontId="30" fillId="3" borderId="0" xfId="0" applyNumberFormat="1" applyFont="1" applyFill="1" applyProtection="1">
      <protection locked="0"/>
    </xf>
    <xf numFmtId="3" fontId="30" fillId="3" borderId="0" xfId="0" applyNumberFormat="1" applyFont="1" applyFill="1" applyAlignment="1" applyProtection="1">
      <alignment horizontal="right"/>
      <protection locked="0"/>
    </xf>
    <xf numFmtId="0" fontId="30" fillId="3" borderId="0" xfId="0" applyFont="1" applyFill="1" applyProtection="1">
      <protection locked="0"/>
    </xf>
    <xf numFmtId="0" fontId="28" fillId="3" borderId="0" xfId="0" applyFont="1" applyFill="1" applyBorder="1"/>
    <xf numFmtId="0" fontId="42" fillId="3" borderId="0" xfId="0" applyFont="1" applyFill="1"/>
    <xf numFmtId="0" fontId="9" fillId="2" borderId="1" xfId="0" applyFont="1" applyFill="1" applyBorder="1" applyAlignment="1">
      <alignment horizontal="center"/>
    </xf>
    <xf numFmtId="3" fontId="30" fillId="3" borderId="0" xfId="0" applyNumberFormat="1" applyFont="1" applyFill="1" applyAlignment="1" applyProtection="1">
      <alignment horizontal="center" vertical="center"/>
      <protection locked="0"/>
    </xf>
    <xf numFmtId="3" fontId="7" fillId="2" borderId="0" xfId="0" applyNumberFormat="1" applyFont="1" applyFill="1" applyBorder="1" applyAlignment="1">
      <alignment horizontal="right" vertical="center" indent="5"/>
    </xf>
    <xf numFmtId="0" fontId="16" fillId="2" borderId="0" xfId="0" applyFont="1" applyFill="1" applyBorder="1" applyAlignment="1">
      <alignment horizontal="right" vertical="center" indent="3"/>
    </xf>
    <xf numFmtId="167" fontId="30" fillId="0" borderId="0" xfId="0" applyNumberFormat="1" applyFont="1" applyFill="1" applyAlignment="1">
      <alignment horizontal="right"/>
    </xf>
    <xf numFmtId="0" fontId="6" fillId="3" borderId="0" xfId="0" applyFont="1" applyFill="1" applyAlignment="1">
      <alignment horizontal="center"/>
    </xf>
    <xf numFmtId="0" fontId="12" fillId="2" borderId="0" xfId="0" applyFont="1" applyFill="1" applyBorder="1"/>
    <xf numFmtId="167" fontId="7" fillId="0" borderId="0" xfId="0" applyNumberFormat="1" applyFont="1" applyFill="1" applyBorder="1" applyAlignment="1">
      <alignment vertical="top"/>
    </xf>
    <xf numFmtId="0" fontId="7" fillId="0" borderId="0" xfId="0" applyFont="1" applyFill="1" applyBorder="1" applyAlignment="1">
      <alignment vertical="top"/>
    </xf>
    <xf numFmtId="0" fontId="7" fillId="3" borderId="0" xfId="0" applyFont="1" applyFill="1" applyAlignment="1">
      <alignment horizontal="center"/>
    </xf>
    <xf numFmtId="0" fontId="38" fillId="3" borderId="0" xfId="0" applyFont="1" applyFill="1" applyAlignment="1" applyProtection="1">
      <alignment horizontal="left" indent="5"/>
      <protection locked="0"/>
    </xf>
    <xf numFmtId="0" fontId="26" fillId="3" borderId="0" xfId="0" applyFont="1" applyFill="1" applyBorder="1" applyAlignment="1" applyProtection="1">
      <alignment horizontal="left"/>
      <protection locked="0"/>
    </xf>
    <xf numFmtId="9" fontId="34" fillId="3" borderId="0" xfId="0" applyNumberFormat="1" applyFont="1" applyFill="1" applyBorder="1" applyAlignment="1">
      <alignment horizontal="left" vertical="center" indent="3"/>
    </xf>
    <xf numFmtId="0" fontId="26" fillId="3" borderId="1" xfId="0" applyFont="1" applyFill="1" applyBorder="1" applyAlignment="1" applyProtection="1">
      <alignment horizontal="left"/>
      <protection locked="0"/>
    </xf>
    <xf numFmtId="9" fontId="34" fillId="3" borderId="1" xfId="0" applyNumberFormat="1" applyFont="1" applyFill="1" applyBorder="1" applyAlignment="1">
      <alignment horizontal="left" vertical="center" indent="3"/>
    </xf>
    <xf numFmtId="4" fontId="7" fillId="3" borderId="1" xfId="0" applyNumberFormat="1" applyFont="1" applyFill="1" applyBorder="1" applyAlignment="1">
      <alignment horizontal="right" vertical="center" indent="3"/>
    </xf>
    <xf numFmtId="0" fontId="12" fillId="3" borderId="0" xfId="0" applyFont="1" applyFill="1" applyBorder="1" applyAlignment="1" applyProtection="1">
      <alignment horizontal="left"/>
      <protection locked="0"/>
    </xf>
    <xf numFmtId="4" fontId="7" fillId="3" borderId="0" xfId="0" applyNumberFormat="1" applyFont="1" applyFill="1"/>
    <xf numFmtId="0" fontId="7" fillId="0" borderId="13" xfId="0" applyFont="1" applyFill="1" applyBorder="1" applyAlignment="1">
      <alignment vertical="top" wrapText="1"/>
    </xf>
    <xf numFmtId="167" fontId="7" fillId="0" borderId="2" xfId="0" applyNumberFormat="1" applyFont="1" applyFill="1" applyBorder="1" applyAlignment="1">
      <alignment vertical="top" wrapText="1"/>
    </xf>
    <xf numFmtId="0" fontId="7" fillId="0" borderId="0" xfId="0" applyFont="1" applyFill="1" applyAlignment="1">
      <alignment vertical="top"/>
    </xf>
    <xf numFmtId="0" fontId="7" fillId="0" borderId="7" xfId="0" applyFont="1" applyFill="1" applyBorder="1" applyAlignment="1">
      <alignment vertical="top"/>
    </xf>
    <xf numFmtId="0" fontId="7" fillId="0" borderId="3" xfId="0" applyFont="1" applyFill="1" applyBorder="1" applyAlignment="1">
      <alignment vertical="top"/>
    </xf>
    <xf numFmtId="0" fontId="7" fillId="0" borderId="9" xfId="0" applyFont="1" applyFill="1" applyBorder="1" applyAlignment="1">
      <alignment vertical="top"/>
    </xf>
    <xf numFmtId="0" fontId="7" fillId="0" borderId="1" xfId="0" applyFont="1" applyFill="1" applyBorder="1" applyAlignment="1">
      <alignment vertical="top"/>
    </xf>
    <xf numFmtId="0" fontId="7" fillId="0" borderId="8" xfId="0" applyFont="1" applyFill="1" applyBorder="1" applyAlignment="1">
      <alignment vertical="top"/>
    </xf>
    <xf numFmtId="0" fontId="7" fillId="0" borderId="10" xfId="0" applyFont="1" applyFill="1" applyBorder="1" applyAlignment="1">
      <alignment vertical="top"/>
    </xf>
    <xf numFmtId="0" fontId="7" fillId="0" borderId="2" xfId="0" applyFont="1" applyFill="1" applyBorder="1" applyAlignment="1">
      <alignment vertical="top"/>
    </xf>
    <xf numFmtId="0" fontId="7" fillId="0" borderId="0" xfId="0" applyFont="1" applyFill="1" applyBorder="1" applyAlignment="1">
      <alignment horizontal="left" vertical="top"/>
    </xf>
    <xf numFmtId="0" fontId="7" fillId="0" borderId="2" xfId="0" applyFont="1" applyFill="1" applyBorder="1" applyAlignment="1">
      <alignment horizontal="left" vertical="top"/>
    </xf>
    <xf numFmtId="167" fontId="7" fillId="0" borderId="0" xfId="0" applyNumberFormat="1" applyFont="1" applyFill="1" applyBorder="1" applyAlignment="1">
      <alignment horizontal="left" vertical="top"/>
    </xf>
    <xf numFmtId="0" fontId="7" fillId="0" borderId="11" xfId="0" applyFont="1" applyFill="1" applyBorder="1" applyAlignment="1">
      <alignment vertical="top"/>
    </xf>
    <xf numFmtId="167" fontId="30" fillId="0" borderId="0" xfId="0" applyNumberFormat="1" applyFont="1" applyFill="1" applyBorder="1" applyAlignment="1">
      <alignment horizontal="right" vertical="top"/>
    </xf>
    <xf numFmtId="167" fontId="30" fillId="0" borderId="0" xfId="0" applyNumberFormat="1" applyFont="1" applyFill="1" applyAlignment="1">
      <alignment horizontal="right" vertical="top"/>
    </xf>
    <xf numFmtId="167" fontId="7" fillId="0" borderId="0" xfId="0" applyNumberFormat="1" applyFont="1" applyFill="1" applyAlignment="1">
      <alignment vertical="top"/>
    </xf>
    <xf numFmtId="0" fontId="7" fillId="0" borderId="0" xfId="0" applyFont="1" applyFill="1" applyAlignment="1">
      <alignment horizontal="left" vertical="top"/>
    </xf>
    <xf numFmtId="167" fontId="7" fillId="0" borderId="0" xfId="0" applyNumberFormat="1" applyFont="1" applyFill="1" applyBorder="1" applyAlignment="1">
      <alignment horizontal="right" vertical="top"/>
    </xf>
    <xf numFmtId="167" fontId="30" fillId="0" borderId="2" xfId="0" applyNumberFormat="1" applyFont="1" applyFill="1" applyBorder="1" applyAlignment="1">
      <alignment horizontal="right" vertical="top"/>
    </xf>
    <xf numFmtId="167" fontId="30" fillId="0" borderId="1" xfId="0" applyNumberFormat="1" applyFont="1" applyFill="1" applyBorder="1" applyAlignment="1">
      <alignment horizontal="right" vertical="top"/>
    </xf>
    <xf numFmtId="9" fontId="7" fillId="0" borderId="0" xfId="2" applyNumberFormat="1" applyFont="1" applyFill="1" applyBorder="1" applyAlignment="1">
      <alignment vertical="top"/>
    </xf>
    <xf numFmtId="0" fontId="9" fillId="0" borderId="3" xfId="0" applyFont="1" applyFill="1" applyBorder="1" applyAlignment="1">
      <alignment horizontal="right" vertical="top"/>
    </xf>
    <xf numFmtId="0" fontId="7" fillId="0" borderId="3" xfId="0" applyFont="1" applyFill="1" applyBorder="1" applyAlignment="1">
      <alignment horizontal="right" vertical="top"/>
    </xf>
    <xf numFmtId="0" fontId="30" fillId="0" borderId="1" xfId="0" applyFont="1" applyFill="1" applyBorder="1" applyAlignment="1">
      <alignment horizontal="right" vertical="top"/>
    </xf>
    <xf numFmtId="0" fontId="30" fillId="0" borderId="0" xfId="0" applyFont="1" applyFill="1" applyBorder="1" applyAlignment="1">
      <alignment horizontal="right" vertical="top"/>
    </xf>
    <xf numFmtId="0" fontId="7" fillId="0" borderId="0" xfId="0" applyFont="1" applyFill="1" applyAlignment="1">
      <alignment horizontal="right" vertical="top"/>
    </xf>
    <xf numFmtId="9" fontId="30" fillId="0" borderId="0" xfId="2" applyNumberFormat="1" applyFont="1" applyFill="1" applyBorder="1" applyAlignment="1">
      <alignment horizontal="right" vertical="top"/>
    </xf>
    <xf numFmtId="0" fontId="7" fillId="0" borderId="14" xfId="0" applyFont="1" applyFill="1" applyBorder="1" applyAlignment="1">
      <alignment horizontal="right"/>
    </xf>
    <xf numFmtId="0" fontId="7" fillId="0" borderId="15" xfId="0" applyFont="1" applyFill="1" applyBorder="1" applyAlignment="1">
      <alignment vertical="top"/>
    </xf>
    <xf numFmtId="0" fontId="7" fillId="0" borderId="16" xfId="0" applyFont="1" applyFill="1" applyBorder="1" applyAlignment="1">
      <alignment vertical="top"/>
    </xf>
    <xf numFmtId="0" fontId="30" fillId="0" borderId="16" xfId="0" applyFont="1" applyFill="1" applyBorder="1" applyAlignment="1">
      <alignment horizontal="right" vertical="top"/>
    </xf>
    <xf numFmtId="0" fontId="7" fillId="0" borderId="17" xfId="0" applyFont="1" applyFill="1" applyBorder="1" applyAlignment="1">
      <alignment vertical="top"/>
    </xf>
    <xf numFmtId="0" fontId="7" fillId="0" borderId="14" xfId="0" applyFont="1" applyFill="1" applyBorder="1" applyAlignment="1">
      <alignment vertical="top"/>
    </xf>
    <xf numFmtId="167" fontId="30" fillId="0" borderId="14" xfId="0" applyNumberFormat="1" applyFont="1" applyFill="1" applyBorder="1" applyAlignment="1">
      <alignment horizontal="right" vertical="top"/>
    </xf>
    <xf numFmtId="0" fontId="30" fillId="0" borderId="14" xfId="0" applyFont="1" applyFill="1" applyBorder="1" applyAlignment="1">
      <alignment horizontal="right" vertical="top"/>
    </xf>
    <xf numFmtId="3" fontId="30" fillId="0" borderId="0" xfId="0" applyNumberFormat="1" applyFont="1" applyFill="1" applyBorder="1" applyAlignment="1">
      <alignment horizontal="right" vertical="top"/>
    </xf>
    <xf numFmtId="0" fontId="7" fillId="0" borderId="0" xfId="0" applyFont="1" applyFill="1" applyBorder="1" applyAlignment="1">
      <alignment horizontal="left" vertical="top" indent="1"/>
    </xf>
    <xf numFmtId="167" fontId="7" fillId="0" borderId="16" xfId="0" applyNumberFormat="1" applyFont="1" applyFill="1" applyBorder="1" applyAlignment="1">
      <alignment vertical="top"/>
    </xf>
    <xf numFmtId="0" fontId="7" fillId="0" borderId="15" xfId="0" applyFont="1" applyFill="1" applyBorder="1"/>
    <xf numFmtId="0" fontId="7" fillId="0" borderId="16" xfId="0" applyFont="1" applyFill="1" applyBorder="1"/>
    <xf numFmtId="167" fontId="30" fillId="0" borderId="16" xfId="0" applyNumberFormat="1" applyFont="1" applyFill="1" applyBorder="1" applyAlignment="1">
      <alignment horizontal="right"/>
    </xf>
    <xf numFmtId="167" fontId="7" fillId="0" borderId="0" xfId="0" applyNumberFormat="1" applyFont="1" applyFill="1" applyAlignment="1">
      <alignment horizontal="left"/>
    </xf>
    <xf numFmtId="167" fontId="7" fillId="0" borderId="0" xfId="0" applyNumberFormat="1" applyFont="1" applyFill="1" applyAlignment="1">
      <alignment vertical="top" wrapText="1"/>
    </xf>
    <xf numFmtId="0" fontId="9" fillId="0" borderId="16" xfId="0" applyFont="1" applyFill="1" applyBorder="1" applyAlignment="1">
      <alignment vertical="top"/>
    </xf>
    <xf numFmtId="3" fontId="12" fillId="3" borderId="0" xfId="0" applyNumberFormat="1" applyFont="1" applyFill="1" applyBorder="1" applyAlignment="1" applyProtection="1">
      <alignment horizontal="right" vertical="center" indent="3"/>
      <protection locked="0"/>
    </xf>
    <xf numFmtId="3" fontId="46" fillId="3" borderId="0" xfId="0" applyNumberFormat="1" applyFont="1" applyFill="1" applyBorder="1" applyAlignment="1" applyProtection="1">
      <alignment horizontal="right" vertical="center" indent="3"/>
      <protection locked="0"/>
    </xf>
    <xf numFmtId="0" fontId="9" fillId="2" borderId="14" xfId="0" applyFont="1" applyFill="1" applyBorder="1" applyAlignment="1">
      <alignment horizontal="center" vertical="top" wrapText="1"/>
    </xf>
    <xf numFmtId="0" fontId="0" fillId="2" borderId="0" xfId="0" applyFont="1" applyFill="1"/>
    <xf numFmtId="0" fontId="9" fillId="2" borderId="16" xfId="0" applyFont="1" applyFill="1" applyBorder="1" applyAlignment="1">
      <alignment horizontal="left"/>
    </xf>
    <xf numFmtId="3" fontId="9" fillId="2" borderId="16" xfId="0" applyNumberFormat="1" applyFont="1" applyFill="1" applyBorder="1" applyAlignment="1">
      <alignment horizontal="right" vertical="center" indent="3"/>
    </xf>
    <xf numFmtId="0" fontId="30" fillId="3" borderId="0" xfId="0" applyFont="1" applyFill="1" applyAlignment="1">
      <alignment horizontal="left"/>
    </xf>
    <xf numFmtId="0" fontId="30" fillId="2" borderId="0" xfId="0" applyFont="1" applyFill="1" applyBorder="1" applyAlignment="1">
      <alignment horizontal="left"/>
    </xf>
    <xf numFmtId="3" fontId="38" fillId="2" borderId="16" xfId="0" applyNumberFormat="1" applyFont="1" applyFill="1" applyBorder="1" applyAlignment="1">
      <alignment horizontal="right" vertical="center" indent="3"/>
    </xf>
    <xf numFmtId="3" fontId="38" fillId="2" borderId="16" xfId="0" applyNumberFormat="1" applyFont="1" applyFill="1" applyBorder="1" applyAlignment="1">
      <alignment horizontal="right" vertical="center" indent="5"/>
    </xf>
    <xf numFmtId="3" fontId="7" fillId="3" borderId="2" xfId="0" applyNumberFormat="1" applyFont="1" applyFill="1" applyBorder="1" applyAlignment="1" applyProtection="1">
      <alignment horizontal="right" vertical="center"/>
      <protection locked="0"/>
    </xf>
    <xf numFmtId="3" fontId="30" fillId="3" borderId="0" xfId="0" applyNumberFormat="1" applyFont="1" applyFill="1" applyBorder="1" applyAlignment="1" applyProtection="1">
      <alignment horizontal="right" vertical="center" indent="3"/>
      <protection locked="0"/>
    </xf>
    <xf numFmtId="9" fontId="30" fillId="3" borderId="0" xfId="2" applyFont="1" applyFill="1" applyBorder="1" applyAlignment="1" applyProtection="1">
      <alignment horizontal="right" vertical="center"/>
      <protection locked="0"/>
    </xf>
    <xf numFmtId="3" fontId="7" fillId="3" borderId="0" xfId="0" applyNumberFormat="1" applyFont="1" applyFill="1" applyBorder="1" applyAlignment="1" applyProtection="1">
      <alignment horizontal="right" vertical="center"/>
      <protection locked="0"/>
    </xf>
    <xf numFmtId="3" fontId="9" fillId="3" borderId="14" xfId="0" applyNumberFormat="1" applyFont="1" applyFill="1" applyBorder="1" applyAlignment="1" applyProtection="1">
      <alignment vertical="center"/>
      <protection locked="0"/>
    </xf>
    <xf numFmtId="3" fontId="7" fillId="3" borderId="14" xfId="0" applyNumberFormat="1" applyFont="1" applyFill="1" applyBorder="1" applyAlignment="1" applyProtection="1">
      <alignment horizontal="right" vertical="center" indent="3"/>
      <protection locked="0"/>
    </xf>
    <xf numFmtId="9" fontId="7" fillId="3" borderId="14" xfId="2" applyFont="1" applyFill="1" applyBorder="1" applyAlignment="1" applyProtection="1">
      <alignment horizontal="right" vertical="center"/>
      <protection locked="0"/>
    </xf>
    <xf numFmtId="3" fontId="9" fillId="3" borderId="14" xfId="0" applyNumberFormat="1" applyFont="1" applyFill="1" applyBorder="1" applyAlignment="1" applyProtection="1">
      <alignment horizontal="right" vertical="center"/>
      <protection locked="0"/>
    </xf>
    <xf numFmtId="3" fontId="9" fillId="3" borderId="14" xfId="0" applyNumberFormat="1" applyFont="1" applyFill="1" applyBorder="1"/>
    <xf numFmtId="3" fontId="16" fillId="2" borderId="16" xfId="0" applyNumberFormat="1" applyFont="1" applyFill="1" applyBorder="1" applyAlignment="1">
      <alignment horizontal="right" vertical="center" indent="3"/>
    </xf>
    <xf numFmtId="3" fontId="7" fillId="2" borderId="16" xfId="0" applyNumberFormat="1" applyFont="1" applyFill="1" applyBorder="1" applyAlignment="1">
      <alignment horizontal="right" vertical="center" indent="5"/>
    </xf>
    <xf numFmtId="4" fontId="16" fillId="2" borderId="16" xfId="0" applyNumberFormat="1" applyFont="1" applyFill="1" applyBorder="1" applyAlignment="1">
      <alignment horizontal="right" vertical="center" indent="3"/>
    </xf>
    <xf numFmtId="3" fontId="30" fillId="2" borderId="16" xfId="0" applyNumberFormat="1" applyFont="1" applyFill="1" applyBorder="1" applyAlignment="1" applyProtection="1">
      <alignment horizontal="right" vertical="center" indent="4"/>
      <protection locked="0"/>
    </xf>
    <xf numFmtId="0" fontId="7" fillId="3" borderId="0" xfId="0" applyFont="1" applyFill="1" applyBorder="1" applyAlignment="1">
      <alignment horizontal="left" indent="1"/>
    </xf>
    <xf numFmtId="4" fontId="16" fillId="2" borderId="16" xfId="0" applyNumberFormat="1" applyFont="1" applyFill="1" applyBorder="1" applyAlignment="1">
      <alignment horizontal="right" vertical="center" indent="4"/>
    </xf>
    <xf numFmtId="0" fontId="9" fillId="3" borderId="14" xfId="0" applyFont="1" applyFill="1" applyBorder="1" applyAlignment="1">
      <alignment horizontal="left"/>
    </xf>
    <xf numFmtId="1" fontId="9" fillId="3" borderId="14" xfId="0" applyNumberFormat="1" applyFont="1" applyFill="1" applyBorder="1"/>
    <xf numFmtId="37" fontId="30" fillId="2" borderId="0" xfId="0" applyNumberFormat="1" applyFont="1" applyFill="1" applyAlignment="1" applyProtection="1">
      <alignment horizontal="left"/>
      <protection locked="0"/>
    </xf>
    <xf numFmtId="0" fontId="26" fillId="2" borderId="18" xfId="0" applyFont="1" applyFill="1" applyBorder="1" applyAlignment="1">
      <alignment horizontal="left"/>
    </xf>
    <xf numFmtId="165" fontId="34" fillId="2" borderId="18" xfId="3" applyNumberFormat="1" applyFont="1" applyFill="1" applyBorder="1" applyAlignment="1" applyProtection="1">
      <alignment horizontal="right" indent="3"/>
      <protection locked="0"/>
    </xf>
    <xf numFmtId="0" fontId="6" fillId="2" borderId="18" xfId="0" applyFont="1" applyFill="1" applyBorder="1"/>
    <xf numFmtId="0" fontId="7" fillId="0" borderId="0" xfId="0" applyFont="1" applyFill="1" applyBorder="1"/>
    <xf numFmtId="3" fontId="7" fillId="3" borderId="0" xfId="0" applyNumberFormat="1" applyFont="1" applyFill="1" applyBorder="1"/>
    <xf numFmtId="0" fontId="7" fillId="0" borderId="0" xfId="0" applyFont="1" applyFill="1" applyBorder="1" applyAlignment="1">
      <alignment vertical="top" wrapText="1"/>
    </xf>
    <xf numFmtId="3" fontId="30" fillId="3" borderId="5" xfId="0" applyNumberFormat="1" applyFont="1" applyFill="1" applyBorder="1" applyAlignment="1" applyProtection="1">
      <alignment horizontal="center"/>
      <protection locked="0"/>
    </xf>
    <xf numFmtId="0" fontId="30" fillId="3" borderId="6" xfId="0" applyFont="1" applyFill="1" applyBorder="1" applyProtection="1">
      <protection locked="0"/>
    </xf>
    <xf numFmtId="43" fontId="30" fillId="3" borderId="0" xfId="0" applyNumberFormat="1" applyFont="1" applyFill="1" applyAlignment="1" applyProtection="1">
      <alignment horizontal="right"/>
      <protection locked="0"/>
    </xf>
    <xf numFmtId="4" fontId="30" fillId="3" borderId="0" xfId="0" applyNumberFormat="1" applyFont="1" applyFill="1" applyAlignment="1" applyProtection="1">
      <alignment horizontal="right" vertical="center" indent="3"/>
      <protection locked="0"/>
    </xf>
    <xf numFmtId="4" fontId="30" fillId="3" borderId="1" xfId="0" applyNumberFormat="1" applyFont="1" applyFill="1" applyBorder="1" applyAlignment="1" applyProtection="1">
      <alignment horizontal="right" vertical="center" indent="3"/>
      <protection locked="0"/>
    </xf>
    <xf numFmtId="4" fontId="30" fillId="3" borderId="0" xfId="0" applyNumberFormat="1" applyFont="1" applyFill="1" applyBorder="1" applyAlignment="1" applyProtection="1">
      <alignment horizontal="right" vertical="center" indent="3"/>
      <protection locked="0"/>
    </xf>
    <xf numFmtId="43" fontId="30" fillId="3" borderId="1" xfId="0" applyNumberFormat="1" applyFont="1" applyFill="1" applyBorder="1" applyAlignment="1" applyProtection="1">
      <alignment horizontal="right"/>
      <protection locked="0"/>
    </xf>
    <xf numFmtId="0" fontId="30" fillId="3" borderId="0" xfId="0" applyFont="1" applyFill="1" applyAlignment="1" applyProtection="1">
      <alignment horizontal="right" indent="1"/>
      <protection locked="0"/>
    </xf>
    <xf numFmtId="43" fontId="30" fillId="3" borderId="4" xfId="0" applyNumberFormat="1" applyFont="1" applyFill="1" applyBorder="1" applyAlignment="1" applyProtection="1">
      <alignment horizontal="right" indent="2"/>
      <protection locked="0"/>
    </xf>
    <xf numFmtId="4" fontId="30" fillId="3" borderId="1" xfId="0" applyNumberFormat="1" applyFont="1" applyFill="1" applyBorder="1" applyAlignment="1" applyProtection="1">
      <alignment horizontal="right" indent="1"/>
      <protection locked="0"/>
    </xf>
    <xf numFmtId="0" fontId="7" fillId="0" borderId="8" xfId="0" applyFont="1" applyFill="1" applyBorder="1" applyAlignment="1">
      <alignment vertical="top" wrapText="1"/>
    </xf>
    <xf numFmtId="0" fontId="8" fillId="0" borderId="3" xfId="0" applyFont="1" applyFill="1" applyBorder="1" applyAlignment="1">
      <alignment vertical="top"/>
    </xf>
    <xf numFmtId="0" fontId="6" fillId="0" borderId="0" xfId="0" applyFont="1"/>
    <xf numFmtId="0" fontId="7" fillId="3" borderId="19" xfId="0" applyFont="1" applyFill="1" applyBorder="1"/>
    <xf numFmtId="168" fontId="7" fillId="3" borderId="0" xfId="0" applyNumberFormat="1" applyFont="1" applyFill="1" applyBorder="1" applyAlignment="1">
      <alignment horizontal="center" vertical="center"/>
    </xf>
    <xf numFmtId="0" fontId="7" fillId="2" borderId="0" xfId="0" applyFont="1" applyFill="1" applyAlignment="1">
      <alignment vertical="top"/>
    </xf>
    <xf numFmtId="0" fontId="23" fillId="2" borderId="0" xfId="0" applyFont="1" applyFill="1" applyAlignment="1">
      <alignment vertical="top"/>
    </xf>
    <xf numFmtId="0" fontId="45" fillId="2" borderId="0" xfId="0" applyFont="1" applyFill="1" applyAlignment="1">
      <alignment vertical="top" wrapText="1"/>
    </xf>
    <xf numFmtId="43" fontId="45" fillId="2" borderId="0" xfId="0" applyNumberFormat="1" applyFont="1" applyFill="1" applyAlignment="1">
      <alignment vertical="top"/>
    </xf>
    <xf numFmtId="4" fontId="45" fillId="2" borderId="0" xfId="0" applyNumberFormat="1" applyFont="1" applyFill="1" applyBorder="1" applyAlignment="1">
      <alignment horizontal="right" vertical="top"/>
    </xf>
    <xf numFmtId="4" fontId="45" fillId="2" borderId="0" xfId="0" applyNumberFormat="1" applyFont="1" applyFill="1" applyAlignment="1">
      <alignment horizontal="right" vertical="top"/>
    </xf>
    <xf numFmtId="0" fontId="15" fillId="2" borderId="0" xfId="0" applyFont="1" applyFill="1"/>
    <xf numFmtId="37" fontId="30" fillId="2" borderId="0" xfId="0" applyNumberFormat="1" applyFont="1" applyFill="1" applyProtection="1">
      <protection locked="0"/>
    </xf>
    <xf numFmtId="0" fontId="38" fillId="3" borderId="24" xfId="0" applyFont="1" applyFill="1" applyBorder="1" applyAlignment="1" applyProtection="1">
      <alignment horizontal="left" indent="5"/>
      <protection locked="0"/>
    </xf>
    <xf numFmtId="167" fontId="7" fillId="0" borderId="2" xfId="0" applyNumberFormat="1" applyFont="1" applyFill="1" applyBorder="1" applyAlignment="1">
      <alignment vertical="top"/>
    </xf>
    <xf numFmtId="3" fontId="7" fillId="3" borderId="0" xfId="0" applyNumberFormat="1" applyFont="1" applyFill="1" applyBorder="1" applyAlignment="1">
      <alignment horizontal="right" vertical="center" indent="4"/>
    </xf>
    <xf numFmtId="0" fontId="28" fillId="3" borderId="24" xfId="0" applyFont="1" applyFill="1" applyBorder="1" applyAlignment="1">
      <alignment horizontal="left" indent="1"/>
    </xf>
    <xf numFmtId="4" fontId="30" fillId="3" borderId="24" xfId="0" applyNumberFormat="1" applyFont="1" applyFill="1" applyBorder="1" applyAlignment="1" applyProtection="1">
      <alignment horizontal="right" vertical="center" indent="2"/>
      <protection locked="0"/>
    </xf>
    <xf numFmtId="3" fontId="30" fillId="3" borderId="24" xfId="0" applyNumberFormat="1" applyFont="1" applyFill="1" applyBorder="1" applyAlignment="1">
      <alignment horizontal="center" vertical="center"/>
    </xf>
    <xf numFmtId="4" fontId="7" fillId="3" borderId="24" xfId="0" applyNumberFormat="1" applyFont="1" applyFill="1" applyBorder="1" applyAlignment="1">
      <alignment horizontal="right" vertical="center" indent="2"/>
    </xf>
    <xf numFmtId="3" fontId="7" fillId="3" borderId="24" xfId="0" applyNumberFormat="1" applyFont="1" applyFill="1" applyBorder="1" applyAlignment="1">
      <alignment horizontal="right" vertical="center" indent="4"/>
    </xf>
    <xf numFmtId="0" fontId="30" fillId="3" borderId="25" xfId="0" applyFont="1" applyFill="1" applyBorder="1" applyProtection="1">
      <protection locked="0"/>
    </xf>
    <xf numFmtId="0" fontId="7" fillId="0" borderId="27" xfId="0" applyFont="1" applyFill="1" applyBorder="1" applyAlignment="1">
      <alignment vertical="top"/>
    </xf>
    <xf numFmtId="0" fontId="7" fillId="0" borderId="28" xfId="0" applyFont="1" applyFill="1" applyBorder="1" applyAlignment="1">
      <alignment vertical="top"/>
    </xf>
    <xf numFmtId="167" fontId="30" fillId="0" borderId="28" xfId="0" applyNumberFormat="1" applyFont="1" applyFill="1" applyBorder="1" applyAlignment="1">
      <alignment horizontal="right" vertical="top"/>
    </xf>
    <xf numFmtId="0" fontId="30" fillId="0" borderId="28" xfId="0" applyFont="1" applyFill="1" applyBorder="1" applyAlignment="1">
      <alignment horizontal="right" vertical="top"/>
    </xf>
    <xf numFmtId="0" fontId="7" fillId="0" borderId="28" xfId="0" applyFont="1" applyFill="1" applyBorder="1" applyAlignment="1">
      <alignment horizontal="right" vertical="top"/>
    </xf>
    <xf numFmtId="0" fontId="7" fillId="0" borderId="28" xfId="0" applyFont="1" applyFill="1" applyBorder="1"/>
    <xf numFmtId="0" fontId="7" fillId="0" borderId="29" xfId="0" applyFont="1" applyFill="1" applyBorder="1" applyAlignment="1">
      <alignment vertical="top"/>
    </xf>
    <xf numFmtId="0" fontId="7" fillId="0" borderId="30" xfId="0" applyFont="1" applyFill="1" applyBorder="1" applyAlignment="1">
      <alignment vertical="top"/>
    </xf>
    <xf numFmtId="0" fontId="7" fillId="0" borderId="31" xfId="0" applyFont="1" applyFill="1" applyBorder="1" applyAlignment="1">
      <alignment vertical="top"/>
    </xf>
    <xf numFmtId="167" fontId="30" fillId="0" borderId="31" xfId="0" applyNumberFormat="1" applyFont="1" applyFill="1" applyBorder="1" applyAlignment="1">
      <alignment horizontal="right" vertical="top"/>
    </xf>
    <xf numFmtId="167" fontId="7" fillId="0" borderId="28" xfId="0" applyNumberFormat="1" applyFont="1" applyFill="1" applyBorder="1"/>
    <xf numFmtId="0" fontId="7" fillId="0" borderId="26" xfId="0" applyFont="1" applyFill="1" applyBorder="1" applyAlignment="1">
      <alignment vertical="top"/>
    </xf>
    <xf numFmtId="167" fontId="7" fillId="0" borderId="31" xfId="0" applyNumberFormat="1" applyFont="1" applyFill="1" applyBorder="1"/>
    <xf numFmtId="0" fontId="28" fillId="3" borderId="28" xfId="0" applyFont="1" applyFill="1" applyBorder="1" applyAlignment="1">
      <alignment horizontal="left" indent="1"/>
    </xf>
    <xf numFmtId="4" fontId="30" fillId="3" borderId="28" xfId="0" applyNumberFormat="1" applyFont="1" applyFill="1" applyBorder="1" applyAlignment="1" applyProtection="1">
      <alignment horizontal="right" vertical="center" indent="2"/>
      <protection locked="0"/>
    </xf>
    <xf numFmtId="3" fontId="30" fillId="3" borderId="28" xfId="0" applyNumberFormat="1" applyFont="1" applyFill="1" applyBorder="1" applyAlignment="1" applyProtection="1">
      <alignment horizontal="center" vertical="center"/>
      <protection locked="0"/>
    </xf>
    <xf numFmtId="4" fontId="7" fillId="3" borderId="28" xfId="0" applyNumberFormat="1" applyFont="1" applyFill="1" applyBorder="1" applyAlignment="1">
      <alignment horizontal="right" vertical="center" indent="2"/>
    </xf>
    <xf numFmtId="3" fontId="7" fillId="3" borderId="28" xfId="0" applyNumberFormat="1" applyFont="1" applyFill="1" applyBorder="1" applyAlignment="1">
      <alignment horizontal="right" vertical="center" indent="4"/>
    </xf>
    <xf numFmtId="4" fontId="16" fillId="3" borderId="28" xfId="0" applyNumberFormat="1" applyFont="1" applyFill="1" applyBorder="1" applyAlignment="1">
      <alignment horizontal="right" vertical="center" indent="2"/>
    </xf>
    <xf numFmtId="0" fontId="30" fillId="3" borderId="32" xfId="0" applyFont="1" applyFill="1" applyBorder="1" applyProtection="1">
      <protection locked="0"/>
    </xf>
    <xf numFmtId="0" fontId="7" fillId="2" borderId="0" xfId="0" applyFont="1" applyFill="1" applyAlignment="1">
      <alignment horizontal="left" vertical="top" wrapText="1"/>
    </xf>
    <xf numFmtId="4" fontId="30" fillId="3" borderId="0" xfId="0" applyNumberFormat="1" applyFont="1" applyFill="1" applyBorder="1" applyAlignment="1" applyProtection="1">
      <alignment horizontal="right" indent="1"/>
      <protection locked="0"/>
    </xf>
    <xf numFmtId="0" fontId="9" fillId="2" borderId="33" xfId="0" applyFont="1" applyFill="1" applyBorder="1" applyAlignment="1">
      <alignment horizontal="left"/>
    </xf>
    <xf numFmtId="0" fontId="7" fillId="0" borderId="22" xfId="0" applyFont="1" applyFill="1" applyBorder="1" applyAlignment="1">
      <alignment vertical="top"/>
    </xf>
    <xf numFmtId="0" fontId="7" fillId="2" borderId="0" xfId="0" quotePrefix="1" applyFont="1" applyFill="1" applyBorder="1" applyAlignment="1">
      <alignment horizontal="left" vertical="top"/>
    </xf>
    <xf numFmtId="0" fontId="7" fillId="2" borderId="0" xfId="0" quotePrefix="1" applyFont="1" applyFill="1" applyBorder="1" applyAlignment="1">
      <alignment horizontal="left"/>
    </xf>
    <xf numFmtId="0" fontId="6" fillId="3" borderId="0" xfId="0" applyFont="1" applyFill="1" applyAlignment="1">
      <alignment horizontal="left"/>
    </xf>
    <xf numFmtId="0" fontId="6" fillId="2" borderId="0" xfId="0" applyFont="1" applyFill="1" applyAlignment="1">
      <alignment vertical="top"/>
    </xf>
    <xf numFmtId="0" fontId="5" fillId="2" borderId="0" xfId="0" applyFont="1" applyFill="1" applyAlignment="1">
      <alignment horizontal="left"/>
    </xf>
    <xf numFmtId="0" fontId="7" fillId="2" borderId="0" xfId="0" quotePrefix="1" applyFont="1" applyFill="1" applyBorder="1" applyAlignment="1">
      <alignment horizontal="left" vertical="top" wrapText="1"/>
    </xf>
    <xf numFmtId="0" fontId="20" fillId="2" borderId="0" xfId="0" applyFont="1" applyFill="1" applyAlignment="1">
      <alignment horizontal="right" vertical="top"/>
    </xf>
    <xf numFmtId="0" fontId="20" fillId="2" borderId="0" xfId="0" applyFont="1" applyFill="1" applyAlignment="1">
      <alignment vertical="top"/>
    </xf>
    <xf numFmtId="0" fontId="15" fillId="2" borderId="0" xfId="0" applyFont="1" applyFill="1" applyAlignment="1">
      <alignment vertical="top"/>
    </xf>
    <xf numFmtId="0" fontId="51" fillId="2" borderId="0" xfId="0" applyFont="1" applyFill="1" applyAlignment="1">
      <alignment vertical="top"/>
    </xf>
    <xf numFmtId="0" fontId="52" fillId="2" borderId="0" xfId="0" applyFont="1" applyFill="1" applyAlignment="1">
      <alignment vertical="top"/>
    </xf>
    <xf numFmtId="0" fontId="52" fillId="2" borderId="0" xfId="0" applyFont="1" applyFill="1"/>
    <xf numFmtId="0" fontId="9" fillId="2" borderId="0" xfId="0" applyFont="1" applyFill="1" applyBorder="1" applyAlignment="1">
      <alignment horizontal="left"/>
    </xf>
    <xf numFmtId="0" fontId="30" fillId="2" borderId="0" xfId="0" applyFont="1" applyFill="1" applyBorder="1"/>
    <xf numFmtId="0" fontId="51" fillId="2" borderId="0" xfId="0" applyFont="1" applyFill="1"/>
    <xf numFmtId="0" fontId="30" fillId="2" borderId="0" xfId="0" applyFont="1" applyFill="1"/>
    <xf numFmtId="0" fontId="7" fillId="2" borderId="0" xfId="0" applyFont="1" applyFill="1" applyBorder="1" applyAlignment="1">
      <alignment vertical="top"/>
    </xf>
    <xf numFmtId="0" fontId="52" fillId="2" borderId="0" xfId="0" applyFont="1" applyFill="1" applyBorder="1"/>
    <xf numFmtId="0" fontId="30" fillId="2" borderId="0" xfId="0" applyFont="1" applyFill="1" applyAlignment="1">
      <alignment horizontal="left"/>
    </xf>
    <xf numFmtId="0" fontId="30" fillId="2" borderId="0" xfId="0" applyFont="1" applyFill="1" applyAlignment="1">
      <alignment vertical="top"/>
    </xf>
    <xf numFmtId="0" fontId="7" fillId="3" borderId="34" xfId="0" applyFont="1" applyFill="1" applyBorder="1"/>
    <xf numFmtId="0" fontId="30" fillId="2" borderId="34" xfId="0" applyFont="1" applyFill="1" applyBorder="1"/>
    <xf numFmtId="0" fontId="53" fillId="2" borderId="0" xfId="0" applyFont="1" applyFill="1" applyBorder="1" applyAlignment="1">
      <alignment horizontal="left" vertical="center" wrapText="1"/>
    </xf>
    <xf numFmtId="0" fontId="7" fillId="2" borderId="0" xfId="0" applyFont="1" applyFill="1" applyBorder="1" applyAlignment="1">
      <alignment vertical="center"/>
    </xf>
    <xf numFmtId="0" fontId="7" fillId="2" borderId="0" xfId="0" applyFont="1" applyFill="1" applyBorder="1" applyAlignment="1">
      <alignment vertical="top" wrapText="1"/>
    </xf>
    <xf numFmtId="0" fontId="7" fillId="2" borderId="0" xfId="0" quotePrefix="1" applyFont="1" applyFill="1" applyAlignment="1">
      <alignment horizontal="left" vertical="top"/>
    </xf>
    <xf numFmtId="0" fontId="52" fillId="2" borderId="0" xfId="0" applyFont="1" applyFill="1" applyBorder="1" applyAlignment="1">
      <alignment horizontal="left" vertical="top" wrapText="1"/>
    </xf>
    <xf numFmtId="0" fontId="9" fillId="2" borderId="31" xfId="0" applyFont="1" applyFill="1" applyBorder="1" applyAlignment="1">
      <alignment horizontal="center" vertical="top" wrapText="1"/>
    </xf>
    <xf numFmtId="0" fontId="9" fillId="2" borderId="14" xfId="0" applyFont="1" applyFill="1" applyBorder="1" applyAlignment="1">
      <alignment horizontal="left" vertical="top" wrapText="1"/>
    </xf>
    <xf numFmtId="0" fontId="9" fillId="2" borderId="31" xfId="0" applyFont="1" applyFill="1" applyBorder="1" applyAlignment="1">
      <alignment horizontal="left" vertical="top" wrapText="1"/>
    </xf>
    <xf numFmtId="0" fontId="0" fillId="2" borderId="0" xfId="0" applyFont="1" applyFill="1" applyAlignment="1">
      <alignment vertical="top"/>
    </xf>
    <xf numFmtId="0" fontId="0" fillId="2" borderId="0" xfId="0" applyFill="1" applyAlignment="1">
      <alignment vertical="top"/>
    </xf>
    <xf numFmtId="164" fontId="6" fillId="2" borderId="0" xfId="0" applyNumberFormat="1" applyFont="1" applyFill="1"/>
    <xf numFmtId="44" fontId="6" fillId="2" borderId="0" xfId="0" applyNumberFormat="1" applyFont="1" applyFill="1"/>
    <xf numFmtId="0" fontId="7" fillId="2" borderId="34" xfId="0" applyFont="1" applyFill="1" applyBorder="1"/>
    <xf numFmtId="0" fontId="5" fillId="2" borderId="31" xfId="0" applyFont="1" applyFill="1" applyBorder="1" applyAlignment="1">
      <alignment horizontal="center" wrapText="1"/>
    </xf>
    <xf numFmtId="0" fontId="5" fillId="2" borderId="3" xfId="0" applyFont="1" applyFill="1" applyBorder="1" applyAlignment="1">
      <alignment horizontal="center" vertical="top" wrapText="1"/>
    </xf>
    <xf numFmtId="0" fontId="16" fillId="2" borderId="0" xfId="0" applyFont="1" applyFill="1" applyAlignment="1">
      <alignment vertical="top"/>
    </xf>
    <xf numFmtId="0" fontId="5" fillId="2" borderId="3" xfId="0" applyFont="1" applyFill="1" applyBorder="1" applyAlignment="1">
      <alignment horizontal="left" vertical="top" wrapText="1"/>
    </xf>
    <xf numFmtId="4" fontId="6" fillId="0" borderId="0" xfId="0" applyNumberFormat="1" applyFont="1" applyFill="1" applyAlignment="1">
      <alignment vertical="top"/>
    </xf>
    <xf numFmtId="0" fontId="7" fillId="2" borderId="31" xfId="0" applyFont="1" applyFill="1" applyBorder="1"/>
    <xf numFmtId="0" fontId="9" fillId="2" borderId="34" xfId="0" applyFont="1" applyFill="1" applyBorder="1" applyAlignment="1">
      <alignment horizontal="right" wrapText="1"/>
    </xf>
    <xf numFmtId="0" fontId="6" fillId="2" borderId="31" xfId="0" applyFont="1" applyFill="1" applyBorder="1"/>
    <xf numFmtId="0" fontId="5" fillId="3" borderId="34" xfId="0" applyFont="1" applyFill="1" applyBorder="1" applyAlignment="1">
      <alignment horizontal="center" wrapText="1"/>
    </xf>
    <xf numFmtId="0" fontId="5" fillId="2" borderId="34" xfId="0" applyFont="1" applyFill="1" applyBorder="1"/>
    <xf numFmtId="0" fontId="9" fillId="2" borderId="0" xfId="0" applyFont="1" applyFill="1" applyBorder="1" applyAlignment="1">
      <alignment horizontal="right"/>
    </xf>
    <xf numFmtId="0" fontId="9" fillId="2" borderId="0" xfId="0" applyFont="1" applyFill="1" applyBorder="1" applyAlignment="1">
      <alignment horizontal="right" wrapText="1"/>
    </xf>
    <xf numFmtId="0" fontId="6" fillId="2" borderId="0" xfId="0" applyFont="1" applyFill="1" applyBorder="1" applyAlignment="1">
      <alignment horizontal="center" wrapText="1"/>
    </xf>
    <xf numFmtId="0" fontId="7" fillId="2" borderId="0" xfId="0" quotePrefix="1" applyFont="1" applyFill="1"/>
    <xf numFmtId="4" fontId="7" fillId="2" borderId="0" xfId="0" applyNumberFormat="1" applyFont="1" applyFill="1"/>
    <xf numFmtId="0" fontId="47" fillId="2" borderId="0" xfId="0" applyFont="1" applyFill="1" applyAlignment="1">
      <alignment horizontal="left"/>
    </xf>
    <xf numFmtId="0" fontId="47" fillId="2" borderId="35" xfId="0" applyFont="1" applyFill="1" applyBorder="1" applyAlignment="1">
      <alignment horizontal="left"/>
    </xf>
    <xf numFmtId="0" fontId="47" fillId="2" borderId="0" xfId="0" applyFont="1" applyFill="1" applyBorder="1" applyAlignment="1">
      <alignment horizontal="left"/>
    </xf>
    <xf numFmtId="0" fontId="5" fillId="2" borderId="0" xfId="0" applyFont="1" applyFill="1"/>
    <xf numFmtId="0" fontId="7" fillId="2" borderId="0" xfId="0" quotePrefix="1" applyFont="1" applyFill="1" applyAlignment="1">
      <alignment vertical="top" wrapText="1"/>
    </xf>
    <xf numFmtId="4" fontId="7" fillId="2" borderId="0" xfId="0" applyNumberFormat="1" applyFont="1" applyFill="1" applyAlignment="1">
      <alignment wrapText="1"/>
    </xf>
    <xf numFmtId="0" fontId="6" fillId="2" borderId="0" xfId="0" applyFont="1" applyFill="1" applyAlignment="1">
      <alignment vertical="top" wrapText="1" shrinkToFit="1"/>
    </xf>
    <xf numFmtId="0" fontId="7" fillId="2" borderId="0" xfId="0" quotePrefix="1" applyFont="1" applyFill="1" applyAlignment="1">
      <alignment wrapText="1"/>
    </xf>
    <xf numFmtId="0" fontId="7" fillId="2" borderId="0" xfId="0" applyFont="1" applyFill="1" applyAlignment="1">
      <alignment wrapText="1"/>
    </xf>
    <xf numFmtId="4" fontId="7" fillId="2" borderId="0" xfId="0" applyNumberFormat="1" applyFont="1" applyFill="1" applyAlignment="1"/>
    <xf numFmtId="4" fontId="6" fillId="3" borderId="0" xfId="0" applyNumberFormat="1" applyFont="1" applyFill="1"/>
    <xf numFmtId="0" fontId="47" fillId="2" borderId="0" xfId="0" applyFont="1" applyFill="1" applyAlignment="1">
      <alignment horizontal="left" vertical="top"/>
    </xf>
    <xf numFmtId="0" fontId="7" fillId="2" borderId="0" xfId="0" quotePrefix="1" applyFont="1" applyFill="1" applyBorder="1" applyAlignment="1">
      <alignment wrapText="1"/>
    </xf>
    <xf numFmtId="4" fontId="7" fillId="2" borderId="0" xfId="0" applyNumberFormat="1" applyFont="1" applyFill="1" applyBorder="1" applyAlignment="1"/>
    <xf numFmtId="0" fontId="7" fillId="3" borderId="36" xfId="0" applyFont="1" applyFill="1" applyBorder="1"/>
    <xf numFmtId="0" fontId="7" fillId="2" borderId="36" xfId="0" quotePrefix="1" applyFont="1" applyFill="1" applyBorder="1" applyAlignment="1">
      <alignment wrapText="1"/>
    </xf>
    <xf numFmtId="167" fontId="7" fillId="2" borderId="36" xfId="0" applyNumberFormat="1" applyFont="1" applyFill="1" applyBorder="1" applyAlignment="1"/>
    <xf numFmtId="167" fontId="13" fillId="2" borderId="36" xfId="0" applyNumberFormat="1" applyFont="1" applyFill="1" applyBorder="1" applyAlignment="1"/>
    <xf numFmtId="0" fontId="47" fillId="2" borderId="36" xfId="0" applyFont="1" applyFill="1" applyBorder="1" applyAlignment="1">
      <alignment horizontal="left"/>
    </xf>
    <xf numFmtId="0" fontId="6" fillId="2" borderId="36" xfId="0" applyFont="1" applyFill="1" applyBorder="1"/>
    <xf numFmtId="3" fontId="49" fillId="2" borderId="0" xfId="0" applyNumberFormat="1" applyFont="1" applyFill="1" applyAlignment="1">
      <alignment horizontal="left"/>
    </xf>
    <xf numFmtId="167" fontId="4" fillId="2" borderId="0" xfId="0" applyNumberFormat="1" applyFont="1" applyFill="1" applyAlignment="1">
      <alignment horizontal="left"/>
    </xf>
    <xf numFmtId="0" fontId="4" fillId="2" borderId="0" xfId="0" applyFont="1" applyFill="1" applyAlignment="1">
      <alignment horizontal="left" indent="2"/>
    </xf>
    <xf numFmtId="0" fontId="6" fillId="0" borderId="0" xfId="0" applyFont="1" applyFill="1"/>
    <xf numFmtId="0" fontId="33" fillId="3" borderId="0" xfId="0" applyFont="1" applyFill="1" applyBorder="1" applyAlignment="1">
      <alignment horizontal="left"/>
    </xf>
    <xf numFmtId="0" fontId="7" fillId="2" borderId="36" xfId="0" applyFont="1" applyFill="1" applyBorder="1" applyAlignment="1">
      <alignment horizontal="left"/>
    </xf>
    <xf numFmtId="9" fontId="9" fillId="3" borderId="34" xfId="2" applyFont="1" applyFill="1" applyBorder="1" applyAlignment="1">
      <alignment horizontal="right" vertical="top" wrapText="1"/>
    </xf>
    <xf numFmtId="0" fontId="9" fillId="3" borderId="34" xfId="0" applyFont="1" applyFill="1" applyBorder="1" applyAlignment="1">
      <alignment horizontal="right" vertical="top" wrapText="1"/>
    </xf>
    <xf numFmtId="0" fontId="8" fillId="0" borderId="0" xfId="0" applyFont="1" applyFill="1" applyBorder="1" applyAlignment="1">
      <alignment vertical="top"/>
    </xf>
    <xf numFmtId="0" fontId="28" fillId="3" borderId="0" xfId="0" applyFont="1" applyFill="1" applyAlignment="1">
      <alignment horizontal="right"/>
    </xf>
    <xf numFmtId="0" fontId="28" fillId="3" borderId="0" xfId="0" applyFont="1" applyFill="1" applyAlignment="1">
      <alignment horizontal="left"/>
    </xf>
    <xf numFmtId="0" fontId="52" fillId="3" borderId="0" xfId="0" applyFont="1" applyFill="1" applyBorder="1" applyAlignment="1">
      <alignment vertical="top"/>
    </xf>
    <xf numFmtId="0" fontId="28" fillId="3" borderId="0" xfId="0" applyFont="1" applyFill="1" applyAlignment="1">
      <alignment horizontal="center"/>
    </xf>
    <xf numFmtId="0" fontId="7" fillId="3" borderId="0" xfId="0" applyFont="1" applyFill="1" applyBorder="1" applyAlignment="1">
      <alignment vertical="top"/>
    </xf>
    <xf numFmtId="0" fontId="48" fillId="3" borderId="0" xfId="0" applyFont="1" applyFill="1" applyAlignment="1">
      <alignment horizontal="left" vertical="top"/>
    </xf>
    <xf numFmtId="0" fontId="28" fillId="3" borderId="36" xfId="0" applyFont="1" applyFill="1" applyBorder="1"/>
    <xf numFmtId="0" fontId="28" fillId="3" borderId="36" xfId="0" applyFont="1" applyFill="1" applyBorder="1" applyAlignment="1">
      <alignment horizontal="right"/>
    </xf>
    <xf numFmtId="0" fontId="28" fillId="3" borderId="0" xfId="0" applyFont="1" applyFill="1" applyBorder="1" applyAlignment="1">
      <alignment horizontal="right"/>
    </xf>
    <xf numFmtId="0" fontId="48" fillId="3" borderId="12" xfId="0" applyFont="1" applyFill="1" applyBorder="1" applyAlignment="1">
      <alignment horizontal="left"/>
    </xf>
    <xf numFmtId="0" fontId="48" fillId="3" borderId="0" xfId="0" applyFont="1" applyFill="1" applyBorder="1" applyAlignment="1">
      <alignment horizontal="right"/>
    </xf>
    <xf numFmtId="0" fontId="48" fillId="3" borderId="0" xfId="0" applyFont="1" applyFill="1" applyBorder="1" applyAlignment="1">
      <alignment horizontal="right" wrapText="1"/>
    </xf>
    <xf numFmtId="0" fontId="48" fillId="3" borderId="23" xfId="0" applyFont="1" applyFill="1" applyBorder="1" applyAlignment="1">
      <alignment horizontal="right" wrapText="1"/>
    </xf>
    <xf numFmtId="0" fontId="48" fillId="3" borderId="2" xfId="0" applyFont="1" applyFill="1" applyBorder="1" applyAlignment="1">
      <alignment horizontal="right"/>
    </xf>
    <xf numFmtId="0" fontId="48" fillId="3" borderId="2" xfId="0" applyFont="1" applyFill="1" applyBorder="1" applyAlignment="1">
      <alignment horizontal="right" wrapText="1"/>
    </xf>
    <xf numFmtId="0" fontId="48" fillId="3" borderId="21" xfId="0" applyFont="1" applyFill="1" applyBorder="1" applyAlignment="1">
      <alignment horizontal="right" wrapText="1"/>
    </xf>
    <xf numFmtId="0" fontId="28" fillId="3" borderId="22" xfId="0" applyFont="1" applyFill="1" applyBorder="1" applyAlignment="1">
      <alignment horizontal="left"/>
    </xf>
    <xf numFmtId="4" fontId="28" fillId="3" borderId="0" xfId="0" applyNumberFormat="1" applyFont="1" applyFill="1" applyBorder="1"/>
    <xf numFmtId="43" fontId="28" fillId="3" borderId="0" xfId="0" applyNumberFormat="1" applyFont="1" applyFill="1" applyBorder="1" applyAlignment="1">
      <alignment horizontal="right" wrapText="1"/>
    </xf>
    <xf numFmtId="4" fontId="28" fillId="3" borderId="0" xfId="0" applyNumberFormat="1" applyFont="1" applyFill="1" applyBorder="1" applyAlignment="1">
      <alignment horizontal="right"/>
    </xf>
    <xf numFmtId="4" fontId="28" fillId="3" borderId="23" xfId="0" applyNumberFormat="1" applyFont="1" applyFill="1" applyBorder="1" applyAlignment="1">
      <alignment horizontal="right"/>
    </xf>
    <xf numFmtId="4" fontId="28" fillId="3" borderId="23" xfId="0" applyNumberFormat="1" applyFont="1" applyFill="1" applyBorder="1"/>
    <xf numFmtId="0" fontId="28" fillId="3" borderId="23" xfId="0" applyFont="1" applyFill="1" applyBorder="1" applyAlignment="1">
      <alignment horizontal="right"/>
    </xf>
    <xf numFmtId="0" fontId="28" fillId="3" borderId="23" xfId="0" applyFont="1" applyFill="1" applyBorder="1"/>
    <xf numFmtId="8" fontId="28" fillId="3" borderId="0" xfId="0" applyNumberFormat="1" applyFont="1" applyFill="1" applyAlignment="1">
      <alignment horizontal="right"/>
    </xf>
    <xf numFmtId="9" fontId="30" fillId="3" borderId="0" xfId="2" applyFont="1" applyFill="1" applyAlignment="1">
      <alignment horizontal="left"/>
    </xf>
    <xf numFmtId="169" fontId="7" fillId="3" borderId="2" xfId="0" applyNumberFormat="1" applyFont="1" applyFill="1" applyBorder="1"/>
    <xf numFmtId="169" fontId="38" fillId="3" borderId="20" xfId="0" applyNumberFormat="1" applyFont="1" applyFill="1" applyBorder="1" applyAlignment="1">
      <alignment horizontal="center" vertical="center"/>
    </xf>
    <xf numFmtId="168" fontId="7" fillId="3" borderId="36" xfId="0" applyNumberFormat="1" applyFont="1" applyFill="1" applyBorder="1" applyAlignment="1">
      <alignment horizontal="center" vertical="center"/>
    </xf>
    <xf numFmtId="4" fontId="30" fillId="3" borderId="0" xfId="0" applyNumberFormat="1" applyFont="1" applyFill="1" applyBorder="1" applyAlignment="1">
      <alignment horizontal="center" vertical="center"/>
    </xf>
    <xf numFmtId="168" fontId="7" fillId="4" borderId="0" xfId="0" applyNumberFormat="1" applyFont="1" applyFill="1" applyBorder="1" applyAlignment="1">
      <alignment horizontal="center" vertical="center"/>
    </xf>
    <xf numFmtId="168" fontId="7" fillId="4" borderId="36" xfId="0" applyNumberFormat="1" applyFont="1" applyFill="1" applyBorder="1" applyAlignment="1">
      <alignment horizontal="center" vertical="center"/>
    </xf>
    <xf numFmtId="0" fontId="9" fillId="3" borderId="0" xfId="0" applyFont="1" applyFill="1" applyBorder="1" applyAlignment="1">
      <alignment horizontal="center"/>
    </xf>
    <xf numFmtId="0" fontId="9" fillId="3" borderId="1" xfId="0" applyFont="1" applyFill="1" applyBorder="1" applyAlignment="1">
      <alignment horizontal="center"/>
    </xf>
    <xf numFmtId="0" fontId="38" fillId="3" borderId="1" xfId="0" applyFont="1" applyFill="1" applyBorder="1" applyAlignment="1">
      <alignment horizontal="center"/>
    </xf>
    <xf numFmtId="0" fontId="30" fillId="3" borderId="22" xfId="0" applyFont="1" applyFill="1" applyBorder="1" applyAlignment="1">
      <alignment horizontal="left"/>
    </xf>
    <xf numFmtId="0" fontId="30" fillId="3" borderId="0" xfId="0" applyFont="1" applyFill="1" applyBorder="1"/>
    <xf numFmtId="0" fontId="30" fillId="3" borderId="0" xfId="0" applyFont="1" applyFill="1"/>
    <xf numFmtId="0" fontId="30" fillId="3" borderId="0" xfId="0" applyFont="1" applyFill="1" applyBorder="1" applyAlignment="1">
      <alignment horizontal="right"/>
    </xf>
    <xf numFmtId="168" fontId="30" fillId="3" borderId="23" xfId="0" applyNumberFormat="1" applyFont="1" applyFill="1" applyBorder="1"/>
    <xf numFmtId="0" fontId="30" fillId="3" borderId="23" xfId="0" applyFont="1" applyFill="1" applyBorder="1"/>
    <xf numFmtId="0" fontId="38" fillId="3" borderId="0" xfId="0" applyFont="1" applyFill="1" applyBorder="1" applyAlignment="1">
      <alignment horizontal="right"/>
    </xf>
    <xf numFmtId="168" fontId="38" fillId="3" borderId="23" xfId="0" applyNumberFormat="1" applyFont="1" applyFill="1" applyBorder="1"/>
    <xf numFmtId="2" fontId="38" fillId="3" borderId="23" xfId="0" applyNumberFormat="1" applyFont="1" applyFill="1" applyBorder="1" applyAlignment="1">
      <alignment horizontal="right"/>
    </xf>
    <xf numFmtId="0" fontId="30" fillId="3" borderId="37" xfId="0" applyFont="1" applyFill="1" applyBorder="1" applyAlignment="1">
      <alignment horizontal="left"/>
    </xf>
    <xf numFmtId="0" fontId="30" fillId="3" borderId="36" xfId="0" applyFont="1" applyFill="1" applyBorder="1"/>
    <xf numFmtId="0" fontId="38" fillId="3" borderId="36" xfId="0" applyFont="1" applyFill="1" applyBorder="1" applyAlignment="1">
      <alignment horizontal="right"/>
    </xf>
    <xf numFmtId="0" fontId="38" fillId="3" borderId="38" xfId="0" applyFont="1" applyFill="1" applyBorder="1"/>
    <xf numFmtId="0" fontId="7" fillId="5" borderId="0" xfId="0" applyFont="1" applyFill="1"/>
    <xf numFmtId="0" fontId="7" fillId="5" borderId="0" xfId="0" applyFont="1" applyFill="1" applyProtection="1">
      <protection locked="0"/>
    </xf>
    <xf numFmtId="4" fontId="7" fillId="5" borderId="0" xfId="0" applyNumberFormat="1" applyFont="1" applyFill="1" applyAlignment="1" applyProtection="1">
      <alignment horizontal="right" indent="2"/>
      <protection locked="0"/>
    </xf>
    <xf numFmtId="0" fontId="7" fillId="5" borderId="0" xfId="0" applyFont="1" applyFill="1" applyAlignment="1">
      <alignment horizontal="left" indent="1"/>
    </xf>
    <xf numFmtId="4" fontId="7" fillId="5" borderId="0" xfId="0" applyNumberFormat="1" applyFont="1" applyFill="1" applyAlignment="1">
      <alignment horizontal="right" vertical="center" indent="2"/>
    </xf>
    <xf numFmtId="0" fontId="9" fillId="5" borderId="0" xfId="0" applyFont="1" applyFill="1" applyBorder="1"/>
    <xf numFmtId="4" fontId="7" fillId="5" borderId="1" xfId="0" applyNumberFormat="1" applyFont="1" applyFill="1" applyBorder="1" applyAlignment="1">
      <alignment horizontal="right" vertical="center" indent="2"/>
    </xf>
    <xf numFmtId="0" fontId="9" fillId="5" borderId="0" xfId="0" applyFont="1" applyFill="1"/>
    <xf numFmtId="0" fontId="7" fillId="5" borderId="0" xfId="0" applyFont="1" applyFill="1" applyAlignment="1">
      <alignment horizontal="right" indent="1"/>
    </xf>
    <xf numFmtId="39" fontId="7" fillId="5" borderId="4" xfId="0" applyNumberFormat="1" applyFont="1" applyFill="1" applyBorder="1" applyAlignment="1">
      <alignment horizontal="right" vertical="center" indent="2"/>
    </xf>
    <xf numFmtId="0" fontId="9" fillId="5" borderId="1" xfId="0" applyFont="1" applyFill="1" applyBorder="1"/>
    <xf numFmtId="39" fontId="7" fillId="5" borderId="1" xfId="0" applyNumberFormat="1" applyFont="1" applyFill="1" applyBorder="1" applyAlignment="1">
      <alignment horizontal="right" vertical="center" indent="2"/>
    </xf>
    <xf numFmtId="4" fontId="7" fillId="5" borderId="1" xfId="0" applyNumberFormat="1" applyFont="1" applyFill="1" applyBorder="1" applyAlignment="1">
      <alignment horizontal="right" indent="1"/>
    </xf>
    <xf numFmtId="0" fontId="7" fillId="3" borderId="0" xfId="0" quotePrefix="1" applyFont="1" applyFill="1" applyBorder="1" applyAlignment="1">
      <alignment horizontal="left" vertical="top"/>
    </xf>
    <xf numFmtId="0" fontId="7" fillId="6" borderId="8" xfId="0" applyFont="1" applyFill="1" applyBorder="1" applyAlignment="1">
      <alignment vertical="top"/>
    </xf>
    <xf numFmtId="0" fontId="7" fillId="6" borderId="0" xfId="0" applyFont="1" applyFill="1" applyBorder="1" applyAlignment="1">
      <alignment vertical="top"/>
    </xf>
    <xf numFmtId="167" fontId="30" fillId="6" borderId="0" xfId="0" applyNumberFormat="1" applyFont="1" applyFill="1" applyBorder="1" applyAlignment="1">
      <alignment horizontal="right" vertical="top"/>
    </xf>
    <xf numFmtId="9" fontId="30" fillId="6" borderId="0" xfId="0" applyNumberFormat="1" applyFont="1" applyFill="1" applyBorder="1" applyAlignment="1">
      <alignment horizontal="right" vertical="top"/>
    </xf>
    <xf numFmtId="167" fontId="7" fillId="6" borderId="0" xfId="0" applyNumberFormat="1" applyFont="1" applyFill="1" applyBorder="1" applyAlignment="1">
      <alignment vertical="top"/>
    </xf>
    <xf numFmtId="10" fontId="30" fillId="6" borderId="0" xfId="0" applyNumberFormat="1" applyFont="1" applyFill="1" applyBorder="1" applyAlignment="1">
      <alignment horizontal="right" vertical="top"/>
    </xf>
    <xf numFmtId="0" fontId="7" fillId="6" borderId="15" xfId="0" applyFont="1" applyFill="1" applyBorder="1" applyAlignment="1">
      <alignment vertical="top"/>
    </xf>
    <xf numFmtId="0" fontId="7" fillId="6" borderId="24" xfId="0" applyFont="1" applyFill="1" applyBorder="1" applyAlignment="1">
      <alignment vertical="top"/>
    </xf>
    <xf numFmtId="167" fontId="30" fillId="6" borderId="24" xfId="0" applyNumberFormat="1" applyFont="1" applyFill="1" applyBorder="1" applyAlignment="1">
      <alignment horizontal="right" vertical="top"/>
    </xf>
    <xf numFmtId="168" fontId="30" fillId="6" borderId="24" xfId="0" applyNumberFormat="1" applyFont="1" applyFill="1" applyBorder="1" applyAlignment="1">
      <alignment horizontal="right" vertical="top"/>
    </xf>
    <xf numFmtId="167" fontId="7" fillId="6" borderId="24" xfId="0" applyNumberFormat="1" applyFont="1" applyFill="1" applyBorder="1" applyAlignment="1">
      <alignment vertical="top"/>
    </xf>
    <xf numFmtId="0" fontId="36" fillId="2" borderId="0" xfId="0" applyFont="1" applyFill="1" applyBorder="1" applyAlignment="1">
      <alignment wrapText="1"/>
    </xf>
    <xf numFmtId="0" fontId="7" fillId="2" borderId="36" xfId="0" applyFont="1" applyFill="1" applyBorder="1"/>
    <xf numFmtId="0" fontId="6" fillId="2" borderId="0" xfId="0" applyFont="1" applyFill="1" applyAlignment="1">
      <alignment horizontal="left" vertical="top" wrapText="1"/>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top" wrapText="1"/>
    </xf>
    <xf numFmtId="0" fontId="7" fillId="2" borderId="0" xfId="0" applyFont="1" applyFill="1" applyAlignment="1">
      <alignment horizontal="left" vertical="top" wrapText="1"/>
    </xf>
    <xf numFmtId="0" fontId="6" fillId="3" borderId="0" xfId="0" applyFont="1" applyFill="1" applyAlignment="1">
      <alignment horizontal="left" vertical="top" wrapText="1"/>
    </xf>
    <xf numFmtId="0" fontId="9" fillId="2" borderId="34" xfId="0" applyFont="1" applyFill="1" applyBorder="1" applyAlignment="1">
      <alignment horizontal="left"/>
    </xf>
    <xf numFmtId="0" fontId="30" fillId="2" borderId="0" xfId="0" applyFont="1" applyFill="1" applyAlignment="1">
      <alignment horizontal="left" vertical="top" wrapText="1"/>
    </xf>
    <xf numFmtId="0" fontId="30" fillId="2" borderId="0" xfId="0" applyFont="1" applyFill="1" applyBorder="1" applyAlignment="1">
      <alignment horizontal="left" vertical="top" wrapText="1"/>
    </xf>
    <xf numFmtId="0" fontId="36" fillId="2" borderId="0" xfId="0" applyFont="1" applyFill="1" applyBorder="1" applyAlignment="1">
      <alignment horizontal="left" vertical="top" wrapText="1"/>
    </xf>
    <xf numFmtId="0" fontId="8" fillId="3" borderId="36" xfId="0" applyFont="1" applyFill="1" applyBorder="1" applyAlignment="1">
      <alignment horizontal="left" wrapText="1"/>
    </xf>
    <xf numFmtId="0" fontId="9" fillId="3" borderId="3" xfId="0" applyFont="1" applyFill="1" applyBorder="1" applyAlignment="1">
      <alignment horizontal="center"/>
    </xf>
    <xf numFmtId="0" fontId="12" fillId="3" borderId="0" xfId="0" applyFont="1" applyFill="1" applyAlignment="1">
      <alignment horizontal="left" wrapText="1"/>
    </xf>
    <xf numFmtId="0" fontId="12" fillId="3" borderId="0" xfId="0" applyFont="1" applyFill="1" applyAlignment="1">
      <alignment horizontal="left" vertical="top" wrapText="1"/>
    </xf>
    <xf numFmtId="0" fontId="4" fillId="3" borderId="0" xfId="0" applyFont="1" applyFill="1" applyAlignment="1">
      <alignment horizontal="left" vertical="top" wrapText="1"/>
    </xf>
    <xf numFmtId="169" fontId="9" fillId="3" borderId="20" xfId="0" applyNumberFormat="1" applyFont="1" applyFill="1" applyBorder="1" applyAlignment="1">
      <alignment horizontal="center"/>
    </xf>
    <xf numFmtId="0" fontId="9" fillId="3" borderId="2" xfId="0" applyFont="1" applyFill="1" applyBorder="1" applyAlignment="1">
      <alignment horizontal="center" wrapText="1"/>
    </xf>
    <xf numFmtId="0" fontId="9" fillId="3" borderId="19" xfId="0" applyFont="1" applyFill="1" applyBorder="1" applyAlignment="1">
      <alignment horizontal="center" wrapText="1"/>
    </xf>
    <xf numFmtId="0" fontId="8" fillId="3" borderId="36" xfId="0" applyFont="1" applyFill="1" applyBorder="1" applyAlignment="1">
      <alignment horizontal="left" vertical="top" wrapText="1"/>
    </xf>
    <xf numFmtId="0" fontId="8" fillId="2" borderId="1" xfId="0" applyFont="1" applyFill="1" applyBorder="1" applyAlignment="1">
      <alignment horizontal="left" wrapText="1"/>
    </xf>
    <xf numFmtId="0" fontId="9" fillId="3" borderId="2" xfId="0" applyFont="1" applyFill="1" applyBorder="1" applyAlignment="1">
      <alignment horizontal="center" vertical="top" wrapText="1"/>
    </xf>
    <xf numFmtId="0" fontId="9" fillId="3" borderId="36" xfId="0" applyFont="1" applyFill="1" applyBorder="1" applyAlignment="1">
      <alignment horizontal="center" vertical="top" wrapText="1"/>
    </xf>
    <xf numFmtId="0" fontId="12" fillId="3" borderId="0" xfId="0" applyFont="1" applyFill="1" applyAlignment="1">
      <alignment horizontal="left" vertical="top"/>
    </xf>
    <xf numFmtId="0" fontId="8" fillId="2" borderId="0" xfId="0" applyFont="1" applyFill="1" applyBorder="1" applyAlignment="1">
      <alignment horizontal="left" wrapText="1"/>
    </xf>
    <xf numFmtId="0" fontId="33" fillId="3" borderId="0" xfId="0" applyFont="1" applyFill="1" applyAlignment="1">
      <alignment horizontal="left" vertical="top"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33" fillId="3" borderId="0" xfId="0" applyFont="1" applyFill="1" applyAlignment="1">
      <alignment horizontal="left" vertical="top"/>
    </xf>
    <xf numFmtId="0" fontId="8" fillId="2" borderId="36" xfId="0" applyFont="1" applyFill="1" applyBorder="1" applyAlignment="1">
      <alignment horizontal="left" vertical="top" wrapText="1"/>
    </xf>
    <xf numFmtId="0" fontId="2" fillId="2" borderId="34" xfId="0" applyFont="1" applyFill="1" applyBorder="1" applyAlignment="1">
      <alignment horizontal="left" wrapText="1"/>
    </xf>
    <xf numFmtId="0" fontId="8" fillId="3" borderId="1" xfId="0" applyFont="1" applyFill="1" applyBorder="1" applyAlignment="1">
      <alignment horizontal="left" wrapText="1"/>
    </xf>
    <xf numFmtId="0" fontId="48" fillId="3" borderId="2" xfId="0" applyFont="1" applyFill="1" applyBorder="1" applyAlignment="1">
      <alignment horizontal="right" vertical="top" wrapText="1"/>
    </xf>
    <xf numFmtId="0" fontId="48" fillId="3" borderId="16" xfId="0" applyFont="1" applyFill="1" applyBorder="1" applyAlignment="1">
      <alignment horizontal="right" vertical="top" wrapText="1"/>
    </xf>
    <xf numFmtId="0" fontId="9" fillId="3" borderId="16"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36" xfId="0" applyFont="1" applyFill="1" applyBorder="1" applyAlignment="1">
      <alignment horizontal="center" vertical="top" wrapText="1"/>
    </xf>
    <xf numFmtId="0" fontId="9" fillId="3" borderId="31" xfId="0" applyFont="1" applyFill="1" applyBorder="1" applyAlignment="1">
      <alignment horizontal="center" vertical="top" wrapText="1"/>
    </xf>
    <xf numFmtId="0" fontId="9" fillId="3" borderId="2" xfId="0" applyFont="1" applyFill="1" applyBorder="1" applyAlignment="1">
      <alignment horizontal="right" vertical="top" wrapText="1"/>
    </xf>
    <xf numFmtId="0" fontId="9" fillId="3" borderId="34" xfId="0" applyFont="1" applyFill="1" applyBorder="1" applyAlignment="1">
      <alignment horizontal="right" vertical="top" wrapText="1"/>
    </xf>
    <xf numFmtId="0" fontId="2" fillId="2" borderId="1" xfId="0" applyFont="1" applyFill="1" applyBorder="1" applyAlignment="1">
      <alignment horizontal="left" wrapText="1"/>
    </xf>
  </cellXfs>
  <cellStyles count="20">
    <cellStyle name="Currency 2" xfId="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Normal" xfId="0" builtinId="0"/>
    <cellStyle name="Percent" xfId="2"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2:R35"/>
  <sheetViews>
    <sheetView tabSelected="1" zoomScaleNormal="100" workbookViewId="0">
      <selection activeCell="B1" sqref="B1"/>
    </sheetView>
  </sheetViews>
  <sheetFormatPr defaultColWidth="9.140625" defaultRowHeight="15"/>
  <cols>
    <col min="1" max="1" width="9.140625" style="31"/>
    <col min="2" max="2" width="4.28515625" style="309" customWidth="1"/>
    <col min="3" max="3" width="30.28515625" style="31" customWidth="1"/>
    <col min="4" max="4" width="2.28515625" style="31" customWidth="1"/>
    <col min="5" max="13" width="9.140625" style="31"/>
    <col min="14" max="14" width="4.85546875" style="31" customWidth="1"/>
    <col min="15" max="15" width="14.7109375" style="31" customWidth="1"/>
    <col min="16" max="16384" width="9.140625" style="31"/>
  </cols>
  <sheetData>
    <row r="2" spans="1:18" ht="39.75" customHeight="1">
      <c r="B2" s="469" t="s">
        <v>382</v>
      </c>
      <c r="C2" s="469"/>
      <c r="D2" s="469"/>
      <c r="E2" s="469"/>
      <c r="F2" s="469"/>
      <c r="G2" s="469"/>
      <c r="H2" s="469"/>
      <c r="I2" s="469"/>
      <c r="J2" s="469"/>
      <c r="K2" s="469"/>
      <c r="L2" s="469"/>
      <c r="M2" s="459"/>
    </row>
    <row r="3" spans="1:18" ht="15.75">
      <c r="B3" s="272"/>
    </row>
    <row r="4" spans="1:18">
      <c r="B4" s="16" t="s">
        <v>63</v>
      </c>
      <c r="C4" s="3"/>
      <c r="D4" s="3"/>
      <c r="E4" s="3"/>
      <c r="F4" s="3"/>
      <c r="G4" s="3"/>
      <c r="H4" s="3"/>
      <c r="I4" s="3"/>
      <c r="J4" s="3"/>
      <c r="K4" s="3"/>
    </row>
    <row r="5" spans="1:18" s="68" customFormat="1" ht="35.25" customHeight="1">
      <c r="B5" s="447" t="s">
        <v>47</v>
      </c>
      <c r="C5" s="465" t="s">
        <v>381</v>
      </c>
      <c r="D5" s="465"/>
      <c r="E5" s="465"/>
      <c r="F5" s="465"/>
      <c r="G5" s="465"/>
      <c r="H5" s="465"/>
      <c r="I5" s="465"/>
      <c r="J5" s="465"/>
      <c r="K5" s="465"/>
      <c r="L5" s="465"/>
    </row>
    <row r="6" spans="1:18" ht="78.75" customHeight="1">
      <c r="B6" s="307" t="s">
        <v>48</v>
      </c>
      <c r="C6" s="461" t="s">
        <v>380</v>
      </c>
      <c r="D6" s="461"/>
      <c r="E6" s="461"/>
      <c r="F6" s="461"/>
      <c r="G6" s="461"/>
      <c r="H6" s="461"/>
      <c r="I6" s="461"/>
      <c r="J6" s="461"/>
      <c r="K6" s="461"/>
      <c r="L6" s="461"/>
    </row>
    <row r="7" spans="1:18">
      <c r="B7" s="308" t="s">
        <v>49</v>
      </c>
      <c r="C7" s="3" t="s">
        <v>64</v>
      </c>
      <c r="D7" s="3"/>
      <c r="E7" s="3"/>
      <c r="F7" s="3"/>
      <c r="G7" s="3"/>
      <c r="H7" s="3"/>
      <c r="I7" s="3"/>
      <c r="J7" s="3"/>
      <c r="K7" s="3"/>
    </row>
    <row r="8" spans="1:18" ht="61.5" customHeight="1">
      <c r="B8" s="307" t="s">
        <v>51</v>
      </c>
      <c r="C8" s="464" t="s">
        <v>379</v>
      </c>
      <c r="D8" s="464"/>
      <c r="E8" s="464"/>
      <c r="F8" s="464"/>
      <c r="G8" s="464"/>
      <c r="H8" s="464"/>
      <c r="I8" s="464"/>
      <c r="J8" s="464"/>
      <c r="K8" s="464"/>
      <c r="L8" s="464"/>
    </row>
    <row r="10" spans="1:18">
      <c r="A10" s="310"/>
      <c r="B10" s="311" t="s">
        <v>65</v>
      </c>
      <c r="P10" s="35"/>
      <c r="Q10" s="35"/>
    </row>
    <row r="11" spans="1:18" s="310" customFormat="1" ht="43.5" customHeight="1">
      <c r="B11" s="312" t="s">
        <v>47</v>
      </c>
      <c r="C11" s="461" t="s">
        <v>250</v>
      </c>
      <c r="D11" s="461"/>
      <c r="E11" s="461"/>
      <c r="F11" s="461"/>
      <c r="G11" s="461"/>
      <c r="H11" s="461"/>
      <c r="I11" s="461"/>
      <c r="J11" s="461"/>
      <c r="K11" s="461"/>
      <c r="L11" s="461"/>
      <c r="P11" s="313"/>
      <c r="Q11" s="313"/>
    </row>
    <row r="12" spans="1:18" s="310" customFormat="1" ht="49.5" customHeight="1">
      <c r="B12" s="312" t="s">
        <v>48</v>
      </c>
      <c r="C12" s="464" t="s">
        <v>251</v>
      </c>
      <c r="D12" s="464"/>
      <c r="E12" s="464"/>
      <c r="F12" s="464"/>
      <c r="G12" s="464"/>
      <c r="H12" s="464"/>
      <c r="I12" s="464"/>
      <c r="J12" s="464"/>
      <c r="K12" s="464"/>
      <c r="L12" s="464"/>
      <c r="P12" s="314"/>
      <c r="Q12" s="314"/>
      <c r="R12" s="314"/>
    </row>
    <row r="13" spans="1:18" s="310" customFormat="1" ht="18" customHeight="1">
      <c r="B13" s="312" t="s">
        <v>49</v>
      </c>
      <c r="C13" s="464" t="s">
        <v>252</v>
      </c>
      <c r="D13" s="464"/>
      <c r="E13" s="464"/>
      <c r="F13" s="464"/>
      <c r="G13" s="464"/>
      <c r="H13" s="464"/>
      <c r="I13" s="464"/>
      <c r="J13" s="464"/>
      <c r="K13" s="464"/>
      <c r="L13" s="464"/>
      <c r="P13" s="314"/>
      <c r="Q13" s="314"/>
      <c r="R13" s="314"/>
    </row>
    <row r="14" spans="1:18" s="315" customFormat="1" ht="18" customHeight="1">
      <c r="B14" s="312" t="s">
        <v>51</v>
      </c>
      <c r="C14" s="464" t="s">
        <v>253</v>
      </c>
      <c r="D14" s="464"/>
      <c r="E14" s="464"/>
      <c r="F14" s="464"/>
      <c r="G14" s="464"/>
      <c r="H14" s="464"/>
      <c r="I14" s="464"/>
      <c r="J14" s="464"/>
      <c r="K14" s="464"/>
      <c r="L14" s="317"/>
    </row>
    <row r="15" spans="1:18" s="315" customFormat="1" ht="18" customHeight="1">
      <c r="B15" s="312" t="s">
        <v>53</v>
      </c>
      <c r="C15" s="464" t="s">
        <v>254</v>
      </c>
      <c r="D15" s="464"/>
      <c r="E15" s="464"/>
      <c r="F15" s="464"/>
      <c r="G15" s="464"/>
      <c r="H15" s="464"/>
      <c r="I15" s="464"/>
      <c r="J15" s="464"/>
      <c r="K15" s="464"/>
      <c r="L15" s="317"/>
    </row>
    <row r="16" spans="1:18" s="315" customFormat="1" ht="47.25" customHeight="1">
      <c r="B16" s="312" t="s">
        <v>58</v>
      </c>
      <c r="C16" s="464" t="s">
        <v>105</v>
      </c>
      <c r="D16" s="464"/>
      <c r="E16" s="464"/>
      <c r="F16" s="464"/>
      <c r="G16" s="464"/>
      <c r="H16" s="464"/>
      <c r="I16" s="464"/>
      <c r="J16" s="464"/>
      <c r="K16" s="464"/>
      <c r="L16" s="464"/>
      <c r="M16" s="303"/>
      <c r="O16" s="316"/>
      <c r="P16" s="316"/>
      <c r="Q16" s="316"/>
    </row>
    <row r="17" spans="1:17" s="315" customFormat="1" ht="18" customHeight="1">
      <c r="B17" s="312" t="s">
        <v>77</v>
      </c>
      <c r="C17" s="266" t="s">
        <v>255</v>
      </c>
      <c r="D17" s="266"/>
      <c r="E17" s="266"/>
      <c r="F17" s="266"/>
      <c r="G17" s="266"/>
      <c r="H17" s="266"/>
      <c r="I17" s="266"/>
      <c r="J17" s="266"/>
      <c r="K17" s="266"/>
      <c r="L17" s="317"/>
      <c r="N17" s="316"/>
      <c r="O17" s="316"/>
      <c r="P17" s="316"/>
      <c r="Q17" s="316"/>
    </row>
    <row r="18" spans="1:17" s="272" customFormat="1" ht="15.75">
      <c r="B18" s="309"/>
      <c r="C18" s="3"/>
      <c r="D18" s="3"/>
      <c r="E18" s="3"/>
      <c r="F18" s="3"/>
      <c r="G18" s="3" t="s">
        <v>256</v>
      </c>
      <c r="H18" s="3"/>
      <c r="I18" s="3"/>
      <c r="J18" s="3"/>
      <c r="K18" s="3"/>
      <c r="L18" s="318"/>
    </row>
    <row r="19" spans="1:17" s="272" customFormat="1" ht="15.75">
      <c r="A19" s="31"/>
      <c r="B19" s="309"/>
      <c r="C19" s="466" t="s">
        <v>348</v>
      </c>
      <c r="D19" s="466"/>
      <c r="E19" s="466"/>
      <c r="F19" s="466"/>
      <c r="G19" s="466"/>
      <c r="H19" s="466"/>
      <c r="I19" s="466"/>
      <c r="J19" s="466"/>
      <c r="K19" s="466"/>
      <c r="L19" s="460"/>
    </row>
    <row r="20" spans="1:17" s="272" customFormat="1" ht="15.75">
      <c r="A20" s="31"/>
      <c r="B20" s="309"/>
      <c r="C20" s="74" t="s">
        <v>257</v>
      </c>
      <c r="D20" s="74"/>
      <c r="E20" s="224" t="s">
        <v>185</v>
      </c>
      <c r="F20" s="319"/>
      <c r="G20" s="319"/>
      <c r="H20" s="319"/>
      <c r="I20" s="319"/>
      <c r="J20" s="319"/>
      <c r="K20" s="319"/>
      <c r="L20" s="3"/>
    </row>
    <row r="21" spans="1:17" s="272" customFormat="1" ht="15" customHeight="1">
      <c r="A21" s="31"/>
      <c r="B21" s="309"/>
      <c r="C21" s="1" t="s">
        <v>258</v>
      </c>
      <c r="D21" s="1"/>
      <c r="E21" s="320" t="s">
        <v>259</v>
      </c>
      <c r="F21" s="320"/>
      <c r="G21" s="320"/>
      <c r="H21" s="320"/>
      <c r="I21" s="320"/>
      <c r="J21" s="320"/>
      <c r="K21" s="320"/>
      <c r="L21" s="3"/>
      <c r="O21" s="321"/>
      <c r="P21" s="321"/>
      <c r="Q21" s="321"/>
    </row>
    <row r="22" spans="1:17" s="272" customFormat="1" ht="30" customHeight="1">
      <c r="A22" s="31"/>
      <c r="B22" s="309"/>
      <c r="C22" s="266" t="s">
        <v>186</v>
      </c>
      <c r="D22" s="3"/>
      <c r="E22" s="467" t="s">
        <v>260</v>
      </c>
      <c r="F22" s="467"/>
      <c r="G22" s="467"/>
      <c r="H22" s="467"/>
      <c r="I22" s="467"/>
      <c r="J22" s="467"/>
      <c r="K22" s="467"/>
      <c r="L22" s="467"/>
      <c r="O22" s="321"/>
      <c r="P22" s="321"/>
      <c r="Q22" s="321"/>
    </row>
    <row r="23" spans="1:17" s="272" customFormat="1" ht="15" customHeight="1">
      <c r="A23" s="31"/>
      <c r="B23" s="309"/>
      <c r="C23" s="3" t="s">
        <v>126</v>
      </c>
      <c r="D23" s="3"/>
      <c r="E23" s="322" t="s">
        <v>261</v>
      </c>
      <c r="F23" s="322"/>
      <c r="G23" s="322"/>
      <c r="H23" s="322"/>
      <c r="I23" s="322"/>
      <c r="J23" s="322"/>
      <c r="K23" s="322"/>
      <c r="L23" s="3"/>
      <c r="O23" s="321"/>
      <c r="P23" s="321"/>
      <c r="Q23" s="321"/>
    </row>
    <row r="24" spans="1:17" s="324" customFormat="1" ht="15" customHeight="1">
      <c r="A24" s="1"/>
      <c r="B24" s="309"/>
      <c r="C24" s="323" t="s">
        <v>46</v>
      </c>
      <c r="D24" s="1"/>
      <c r="E24" s="468" t="s">
        <v>262</v>
      </c>
      <c r="F24" s="468"/>
      <c r="G24" s="468"/>
      <c r="H24" s="468"/>
      <c r="I24" s="468"/>
      <c r="J24" s="468"/>
      <c r="K24" s="468"/>
      <c r="L24" s="1"/>
    </row>
    <row r="25" spans="1:17" s="324" customFormat="1" ht="15" customHeight="1">
      <c r="A25" s="1"/>
      <c r="B25" s="309"/>
      <c r="C25" s="3" t="s">
        <v>125</v>
      </c>
      <c r="D25" s="3"/>
      <c r="E25" s="322" t="s">
        <v>263</v>
      </c>
      <c r="F25" s="322"/>
      <c r="G25" s="322"/>
      <c r="H25" s="322"/>
      <c r="I25" s="322"/>
      <c r="J25" s="322"/>
      <c r="K25" s="322"/>
      <c r="L25" s="1"/>
    </row>
    <row r="26" spans="1:17" s="324" customFormat="1" ht="15" customHeight="1">
      <c r="A26" s="1"/>
      <c r="B26" s="309"/>
      <c r="C26" s="3" t="s">
        <v>50</v>
      </c>
      <c r="D26" s="3"/>
      <c r="E26" s="325" t="s">
        <v>264</v>
      </c>
      <c r="F26" s="322"/>
      <c r="G26" s="326"/>
      <c r="H26" s="322"/>
      <c r="I26" s="322"/>
      <c r="J26" s="322"/>
      <c r="K26" s="322"/>
      <c r="L26" s="1"/>
    </row>
    <row r="27" spans="1:17" s="324" customFormat="1" ht="15" customHeight="1">
      <c r="A27" s="1"/>
      <c r="B27" s="309"/>
      <c r="C27" s="3" t="s">
        <v>265</v>
      </c>
      <c r="D27" s="3"/>
      <c r="E27" s="322" t="s">
        <v>266</v>
      </c>
      <c r="F27" s="322"/>
      <c r="G27" s="322"/>
      <c r="H27" s="322"/>
      <c r="I27" s="322"/>
      <c r="J27" s="322"/>
      <c r="K27" s="322"/>
      <c r="L27" s="1"/>
    </row>
    <row r="28" spans="1:17" s="318" customFormat="1" ht="15" customHeight="1">
      <c r="A28" s="3"/>
      <c r="B28" s="309"/>
      <c r="C28" s="327" t="s">
        <v>267</v>
      </c>
      <c r="D28" s="327"/>
      <c r="E28" s="328" t="s">
        <v>268</v>
      </c>
      <c r="F28" s="328"/>
      <c r="G28" s="328"/>
      <c r="H28" s="328"/>
      <c r="I28" s="328"/>
      <c r="J28" s="328"/>
      <c r="K28" s="328"/>
      <c r="L28" s="460"/>
    </row>
    <row r="29" spans="1:17">
      <c r="C29" s="3"/>
      <c r="D29" s="3"/>
      <c r="E29" s="3"/>
      <c r="F29" s="3"/>
      <c r="G29" s="3"/>
      <c r="H29" s="3"/>
      <c r="I29" s="3"/>
      <c r="J29" s="3"/>
      <c r="K29" s="3"/>
      <c r="L29" s="3"/>
    </row>
    <row r="30" spans="1:17" ht="31.5" customHeight="1">
      <c r="B30" s="307" t="s">
        <v>98</v>
      </c>
      <c r="C30" s="462" t="s">
        <v>270</v>
      </c>
      <c r="D30" s="462"/>
      <c r="E30" s="462"/>
      <c r="F30" s="462"/>
      <c r="G30" s="462"/>
      <c r="H30" s="462"/>
      <c r="I30" s="462"/>
      <c r="J30" s="462"/>
      <c r="K30" s="462"/>
      <c r="L30" s="462"/>
      <c r="M30" s="329"/>
    </row>
    <row r="31" spans="1:17">
      <c r="B31" s="307" t="s">
        <v>121</v>
      </c>
      <c r="C31" s="330" t="s">
        <v>271</v>
      </c>
      <c r="D31" s="1"/>
      <c r="E31" s="1"/>
      <c r="F31" s="1"/>
      <c r="G31" s="331"/>
      <c r="H31" s="331"/>
      <c r="I31" s="331"/>
      <c r="J31" s="331"/>
      <c r="K31" s="331"/>
      <c r="L31" s="3"/>
    </row>
    <row r="32" spans="1:17" ht="18.75" customHeight="1">
      <c r="B32" s="332" t="s">
        <v>269</v>
      </c>
      <c r="C32" s="463" t="s">
        <v>272</v>
      </c>
      <c r="D32" s="463"/>
      <c r="E32" s="463"/>
      <c r="F32" s="463"/>
      <c r="G32" s="463"/>
      <c r="H32" s="463"/>
      <c r="I32" s="463"/>
      <c r="J32" s="463"/>
      <c r="K32" s="463"/>
      <c r="L32" s="463"/>
      <c r="M32" s="333"/>
    </row>
    <row r="33" spans="3:12">
      <c r="C33" s="83"/>
      <c r="D33" s="83"/>
      <c r="E33" s="83"/>
      <c r="F33" s="83"/>
      <c r="G33" s="83"/>
      <c r="H33" s="83"/>
      <c r="I33" s="83"/>
      <c r="J33" s="83"/>
      <c r="K33" s="83"/>
      <c r="L33" s="83"/>
    </row>
    <row r="34" spans="3:12">
      <c r="C34" s="3"/>
      <c r="D34" s="3"/>
      <c r="E34" s="3"/>
      <c r="F34" s="3"/>
      <c r="G34" s="3"/>
      <c r="H34" s="3"/>
      <c r="I34" s="3"/>
      <c r="J34" s="3"/>
      <c r="K34" s="3"/>
      <c r="L34" s="3"/>
    </row>
    <row r="35" spans="3:12">
      <c r="C35" s="3"/>
      <c r="D35" s="3"/>
      <c r="E35" s="3"/>
      <c r="F35" s="3"/>
      <c r="G35" s="3"/>
      <c r="H35" s="3"/>
      <c r="I35" s="3"/>
      <c r="J35" s="3"/>
      <c r="K35" s="3"/>
      <c r="L35" s="3"/>
    </row>
  </sheetData>
  <protectedRanges>
    <protectedRange sqref="E20:L28" name="Range1"/>
  </protectedRanges>
  <mergeCells count="15">
    <mergeCell ref="B2:L2"/>
    <mergeCell ref="C6:L6"/>
    <mergeCell ref="C30:L30"/>
    <mergeCell ref="C32:L32"/>
    <mergeCell ref="C15:K15"/>
    <mergeCell ref="C5:L5"/>
    <mergeCell ref="C8:L8"/>
    <mergeCell ref="C11:L11"/>
    <mergeCell ref="C12:L12"/>
    <mergeCell ref="C13:L13"/>
    <mergeCell ref="C16:L16"/>
    <mergeCell ref="C14:K14"/>
    <mergeCell ref="C19:K19"/>
    <mergeCell ref="E22:L22"/>
    <mergeCell ref="E24:K24"/>
  </mergeCells>
  <phoneticPr fontId="21" type="noConversion"/>
  <pageMargins left="0.7" right="0.7" top="0.75" bottom="0.75" header="0.3" footer="0.3"/>
  <pageSetup scale="72" orientation="portrait"/>
  <ignoredErrors>
    <ignoredError sqref="B9:B13 B5 B6:B8 B14:B32"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B2:L25"/>
  <sheetViews>
    <sheetView workbookViewId="0">
      <selection activeCell="F22" sqref="F22"/>
    </sheetView>
  </sheetViews>
  <sheetFormatPr defaultColWidth="23.140625" defaultRowHeight="15.75"/>
  <cols>
    <col min="1" max="1" width="9.140625" style="153" customWidth="1"/>
    <col min="2" max="2" width="31.28515625" style="39" customWidth="1"/>
    <col min="3" max="3" width="16.42578125" style="39" customWidth="1"/>
    <col min="4" max="4" width="14.42578125" style="39" customWidth="1"/>
    <col min="5" max="5" width="14.7109375" style="39" customWidth="1"/>
    <col min="6" max="6" width="12.42578125" style="39" customWidth="1"/>
    <col min="7" max="7" width="17.140625" style="39" customWidth="1"/>
    <col min="8" max="8" width="14.42578125" style="39" customWidth="1"/>
    <col min="9" max="9" width="4.42578125" style="68" customWidth="1"/>
    <col min="10" max="10" width="20.85546875" style="153" customWidth="1"/>
    <col min="11" max="250" width="9.140625" style="153" customWidth="1"/>
    <col min="251" max="251" width="25" style="153" customWidth="1"/>
    <col min="252" max="16384" width="23.140625" style="153"/>
  </cols>
  <sheetData>
    <row r="2" spans="2:12" ht="22.5" customHeight="1">
      <c r="B2" s="478" t="s">
        <v>372</v>
      </c>
      <c r="C2" s="478"/>
      <c r="D2" s="478"/>
      <c r="E2" s="478"/>
      <c r="F2" s="478"/>
      <c r="G2" s="478"/>
      <c r="H2" s="478"/>
    </row>
    <row r="3" spans="2:12" ht="23.25" customHeight="1">
      <c r="B3" s="480" t="s">
        <v>374</v>
      </c>
      <c r="C3" s="494" t="s">
        <v>373</v>
      </c>
      <c r="D3" s="480" t="s">
        <v>330</v>
      </c>
      <c r="E3" s="496" t="s">
        <v>132</v>
      </c>
      <c r="F3" s="496"/>
      <c r="G3" s="497" t="s">
        <v>331</v>
      </c>
      <c r="H3" s="491" t="s">
        <v>135</v>
      </c>
      <c r="L3" s="149"/>
    </row>
    <row r="4" spans="2:12" ht="51.75" customHeight="1">
      <c r="B4" s="493"/>
      <c r="C4" s="495"/>
      <c r="D4" s="481"/>
      <c r="E4" s="383" t="s">
        <v>332</v>
      </c>
      <c r="F4" s="384" t="s">
        <v>333</v>
      </c>
      <c r="G4" s="498"/>
      <c r="H4" s="492"/>
    </row>
    <row r="5" spans="2:12">
      <c r="B5" s="75" t="s">
        <v>230</v>
      </c>
      <c r="C5" s="227">
        <f>'B5-Mach. Equip. &amp; Build. Req.'!F4</f>
        <v>25000</v>
      </c>
      <c r="D5" s="228">
        <v>25</v>
      </c>
      <c r="E5" s="229">
        <v>0.2</v>
      </c>
      <c r="F5" s="230">
        <f>E5*C5</f>
        <v>5000</v>
      </c>
      <c r="G5" s="249">
        <f t="shared" ref="G5:G16" si="0">(C5-F5)/D5</f>
        <v>800</v>
      </c>
      <c r="H5" s="152"/>
      <c r="J5" s="263" t="s">
        <v>144</v>
      </c>
      <c r="K5" s="244">
        <f>'B13-Data for tables'!$G$53</f>
        <v>10</v>
      </c>
    </row>
    <row r="6" spans="2:12">
      <c r="B6" s="75" t="s">
        <v>231</v>
      </c>
      <c r="C6" s="230">
        <f>'B5-Mach. Equip. &amp; Build. Req.'!F5</f>
        <v>4500</v>
      </c>
      <c r="D6" s="228">
        <v>25</v>
      </c>
      <c r="E6" s="229">
        <v>0.2</v>
      </c>
      <c r="F6" s="230">
        <f t="shared" ref="F6:F16" si="1">E6*C6</f>
        <v>900</v>
      </c>
      <c r="G6" s="249">
        <f t="shared" si="0"/>
        <v>144</v>
      </c>
      <c r="H6" s="85"/>
    </row>
    <row r="7" spans="2:12">
      <c r="B7" s="75" t="s">
        <v>232</v>
      </c>
      <c r="C7" s="230">
        <f>'B5-Mach. Equip. &amp; Build. Req.'!F6</f>
        <v>4000</v>
      </c>
      <c r="D7" s="228">
        <v>25</v>
      </c>
      <c r="E7" s="229">
        <v>0.2</v>
      </c>
      <c r="F7" s="230">
        <f t="shared" si="1"/>
        <v>800</v>
      </c>
      <c r="G7" s="249">
        <f t="shared" si="0"/>
        <v>128</v>
      </c>
      <c r="H7" s="85"/>
    </row>
    <row r="8" spans="2:12">
      <c r="B8" s="75" t="s">
        <v>233</v>
      </c>
      <c r="C8" s="230">
        <f>'B5-Mach. Equip. &amp; Build. Req.'!F7</f>
        <v>3500</v>
      </c>
      <c r="D8" s="228">
        <v>25</v>
      </c>
      <c r="E8" s="229">
        <v>0.2</v>
      </c>
      <c r="F8" s="230">
        <f t="shared" si="1"/>
        <v>700</v>
      </c>
      <c r="G8" s="249">
        <f t="shared" si="0"/>
        <v>112</v>
      </c>
      <c r="H8" s="85"/>
    </row>
    <row r="9" spans="2:12">
      <c r="B9" s="75" t="s">
        <v>234</v>
      </c>
      <c r="C9" s="230">
        <f>'B5-Mach. Equip. &amp; Build. Req.'!F8</f>
        <v>22000</v>
      </c>
      <c r="D9" s="228">
        <v>25</v>
      </c>
      <c r="E9" s="229">
        <v>0.2</v>
      </c>
      <c r="F9" s="230">
        <f t="shared" si="1"/>
        <v>4400</v>
      </c>
      <c r="G9" s="249">
        <f t="shared" si="0"/>
        <v>704</v>
      </c>
      <c r="H9" s="85"/>
    </row>
    <row r="10" spans="2:12">
      <c r="B10" s="75" t="s">
        <v>235</v>
      </c>
      <c r="C10" s="230">
        <f>'B5-Mach. Equip. &amp; Build. Req.'!F9</f>
        <v>30000</v>
      </c>
      <c r="D10" s="228">
        <v>25</v>
      </c>
      <c r="E10" s="229">
        <v>0.2</v>
      </c>
      <c r="F10" s="230">
        <f t="shared" si="1"/>
        <v>6000</v>
      </c>
      <c r="G10" s="249">
        <f t="shared" si="0"/>
        <v>960</v>
      </c>
      <c r="H10" s="85"/>
    </row>
    <row r="11" spans="2:12">
      <c r="B11" s="75" t="s">
        <v>236</v>
      </c>
      <c r="C11" s="230">
        <f>'B5-Mach. Equip. &amp; Build. Req.'!F10</f>
        <v>6000</v>
      </c>
      <c r="D11" s="228">
        <v>25</v>
      </c>
      <c r="E11" s="229">
        <v>0.2</v>
      </c>
      <c r="F11" s="230">
        <f t="shared" si="1"/>
        <v>1200</v>
      </c>
      <c r="G11" s="249">
        <f t="shared" si="0"/>
        <v>192</v>
      </c>
      <c r="H11" s="85"/>
    </row>
    <row r="12" spans="2:12">
      <c r="B12" s="75" t="s">
        <v>237</v>
      </c>
      <c r="C12" s="230">
        <f>'B5-Mach. Equip. &amp; Build. Req.'!F11</f>
        <v>240</v>
      </c>
      <c r="D12" s="228">
        <v>25</v>
      </c>
      <c r="E12" s="229">
        <v>0</v>
      </c>
      <c r="F12" s="230">
        <f t="shared" si="1"/>
        <v>0</v>
      </c>
      <c r="G12" s="249">
        <f t="shared" si="0"/>
        <v>9.6</v>
      </c>
      <c r="H12" s="85"/>
    </row>
    <row r="13" spans="2:12">
      <c r="B13" s="75" t="s">
        <v>238</v>
      </c>
      <c r="C13" s="230">
        <f>'B5-Mach. Equip. &amp; Build. Req.'!F12</f>
        <v>6600</v>
      </c>
      <c r="D13" s="228">
        <v>25</v>
      </c>
      <c r="E13" s="229">
        <v>0</v>
      </c>
      <c r="F13" s="230">
        <f t="shared" si="1"/>
        <v>0</v>
      </c>
      <c r="G13" s="249">
        <f t="shared" si="0"/>
        <v>264</v>
      </c>
      <c r="H13" s="85"/>
    </row>
    <row r="14" spans="2:12">
      <c r="B14" s="139" t="s">
        <v>329</v>
      </c>
      <c r="C14" s="230">
        <f>'B5-Mach. Equip. &amp; Build. Req.'!F13</f>
        <v>16100</v>
      </c>
      <c r="D14" s="228">
        <v>25</v>
      </c>
      <c r="E14" s="229">
        <v>0</v>
      </c>
      <c r="F14" s="230">
        <f t="shared" si="1"/>
        <v>0</v>
      </c>
      <c r="G14" s="249">
        <f t="shared" si="0"/>
        <v>644</v>
      </c>
      <c r="H14" s="85"/>
    </row>
    <row r="15" spans="2:12" ht="18">
      <c r="B15" s="139" t="s">
        <v>327</v>
      </c>
      <c r="C15" s="230">
        <f>'B5-Mach. Equip. &amp; Build. Req.'!F14</f>
        <v>6000</v>
      </c>
      <c r="D15" s="228">
        <v>25</v>
      </c>
      <c r="E15" s="229">
        <v>0</v>
      </c>
      <c r="F15" s="230">
        <f t="shared" si="1"/>
        <v>0</v>
      </c>
      <c r="G15" s="249">
        <f t="shared" si="0"/>
        <v>240</v>
      </c>
      <c r="H15" s="85"/>
    </row>
    <row r="16" spans="2:12" ht="18">
      <c r="B16" s="382" t="s">
        <v>328</v>
      </c>
      <c r="C16" s="230">
        <f>'B5-Mach. Equip. &amp; Build. Req.'!F15</f>
        <v>30000</v>
      </c>
      <c r="D16" s="228">
        <v>25</v>
      </c>
      <c r="E16" s="229">
        <v>0</v>
      </c>
      <c r="F16" s="230">
        <f t="shared" si="1"/>
        <v>0</v>
      </c>
      <c r="G16" s="249">
        <f t="shared" si="0"/>
        <v>1200</v>
      </c>
      <c r="H16" s="85"/>
    </row>
    <row r="17" spans="2:9">
      <c r="B17" s="242" t="s">
        <v>74</v>
      </c>
      <c r="C17" s="231">
        <f>SUM(C5:C16)</f>
        <v>153940</v>
      </c>
      <c r="D17" s="232"/>
      <c r="E17" s="233"/>
      <c r="F17" s="234">
        <f>SUM(F5:F16)</f>
        <v>19000</v>
      </c>
      <c r="G17" s="235">
        <f>SUM(G5:G16)</f>
        <v>5397.6</v>
      </c>
      <c r="H17" s="243">
        <f>G17/K5</f>
        <v>539.76</v>
      </c>
    </row>
    <row r="18" spans="2:9">
      <c r="B18" s="57" t="s">
        <v>133</v>
      </c>
      <c r="C18" s="217"/>
      <c r="D18" s="217"/>
      <c r="E18" s="218"/>
      <c r="F18" s="218"/>
      <c r="G18" s="57"/>
      <c r="H18" s="86"/>
    </row>
    <row r="19" spans="2:9" ht="15" customHeight="1">
      <c r="B19" s="57" t="s">
        <v>334</v>
      </c>
      <c r="C19" s="217"/>
      <c r="D19" s="217"/>
      <c r="E19" s="218"/>
      <c r="F19" s="218"/>
      <c r="G19" s="57"/>
      <c r="H19" s="86"/>
    </row>
    <row r="20" spans="2:9" ht="14.25" customHeight="1">
      <c r="B20" s="57" t="s">
        <v>335</v>
      </c>
      <c r="C20" s="217"/>
      <c r="D20" s="217"/>
      <c r="E20" s="218"/>
      <c r="F20" s="218"/>
      <c r="G20" s="57"/>
      <c r="H20" s="86"/>
    </row>
    <row r="21" spans="2:9" ht="12.75" customHeight="1">
      <c r="B21" s="57" t="s">
        <v>336</v>
      </c>
      <c r="C21" s="217"/>
      <c r="D21" s="217"/>
      <c r="E21" s="218"/>
      <c r="F21" s="218"/>
      <c r="G21" s="57"/>
      <c r="H21" s="86"/>
    </row>
    <row r="22" spans="2:9" ht="15" customHeight="1">
      <c r="B22" s="86" t="s">
        <v>337</v>
      </c>
      <c r="C22" s="217"/>
      <c r="D22" s="217"/>
      <c r="E22" s="218"/>
      <c r="F22" s="218"/>
      <c r="G22" s="57"/>
      <c r="H22" s="86"/>
    </row>
    <row r="23" spans="2:9" ht="27" customHeight="1">
      <c r="B23" s="473" t="s">
        <v>338</v>
      </c>
      <c r="C23" s="473"/>
      <c r="D23" s="473"/>
      <c r="E23" s="473"/>
      <c r="F23" s="473"/>
      <c r="G23" s="473"/>
      <c r="H23" s="473"/>
    </row>
    <row r="24" spans="2:9" ht="15" customHeight="1">
      <c r="B24" s="57" t="s">
        <v>391</v>
      </c>
      <c r="C24" s="217"/>
      <c r="D24" s="217"/>
      <c r="E24" s="218"/>
      <c r="F24" s="218"/>
      <c r="G24" s="57"/>
      <c r="H24" s="86"/>
    </row>
    <row r="25" spans="2:9">
      <c r="I25" s="81"/>
    </row>
  </sheetData>
  <protectedRanges>
    <protectedRange sqref="K5" name="Acres"/>
    <protectedRange sqref="D5:E16" name="Range_1_1"/>
  </protectedRanges>
  <mergeCells count="8">
    <mergeCell ref="B2:H2"/>
    <mergeCell ref="B23:H23"/>
    <mergeCell ref="H3:H4"/>
    <mergeCell ref="B3:B4"/>
    <mergeCell ref="C3:C4"/>
    <mergeCell ref="D3:D4"/>
    <mergeCell ref="E3:F3"/>
    <mergeCell ref="G3:G4"/>
  </mergeCells>
  <pageMargins left="0.7" right="0.7" top="0.75" bottom="0.75" header="0.3" footer="0.3"/>
  <pageSetup orientation="portrait" verticalDpi="2" r:id="rId1"/>
  <ignoredErrors>
    <ignoredError sqref="K5 C9:C16 F9:F16 F5:F8 C5:C8 C17 F17" unlockedFormula="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B2:D8"/>
  <sheetViews>
    <sheetView workbookViewId="0">
      <selection activeCell="C8" sqref="C8"/>
    </sheetView>
  </sheetViews>
  <sheetFormatPr defaultColWidth="9.140625" defaultRowHeight="15"/>
  <cols>
    <col min="1" max="1" width="6.7109375" style="4" customWidth="1"/>
    <col min="2" max="2" width="30.42578125" style="4" bestFit="1" customWidth="1"/>
    <col min="3" max="3" width="14" style="4" customWidth="1"/>
    <col min="4" max="16384" width="9.140625" style="4"/>
  </cols>
  <sheetData>
    <row r="2" spans="2:4" ht="18.75">
      <c r="B2" s="499" t="s">
        <v>397</v>
      </c>
      <c r="C2" s="499"/>
    </row>
    <row r="3" spans="2:4">
      <c r="B3" s="4" t="s">
        <v>43</v>
      </c>
      <c r="C3" s="131">
        <f>'B2-Cider Apple Budget'!$F$60</f>
        <v>28157.552204251522</v>
      </c>
    </row>
    <row r="4" spans="2:4" ht="18">
      <c r="B4" s="31" t="s">
        <v>170</v>
      </c>
      <c r="C4" s="148">
        <f>25-4</f>
        <v>21</v>
      </c>
      <c r="D4" s="33"/>
    </row>
    <row r="5" spans="2:4">
      <c r="B5" s="4" t="s">
        <v>36</v>
      </c>
      <c r="C5" s="148">
        <f>'B13-Data for tables'!$G$47</f>
        <v>0.05</v>
      </c>
    </row>
    <row r="6" spans="2:4">
      <c r="C6" s="34"/>
    </row>
    <row r="7" spans="2:4">
      <c r="B7" s="29" t="s">
        <v>44</v>
      </c>
      <c r="C7" s="132">
        <f>-IF(C4=0," ",PMT(C5,C4,C3))</f>
        <v>2196.1794580670494</v>
      </c>
    </row>
    <row r="8" spans="2:4">
      <c r="B8" s="32" t="s">
        <v>171</v>
      </c>
    </row>
  </sheetData>
  <protectedRanges>
    <protectedRange sqref="C4:C5" name="Range1"/>
  </protectedRanges>
  <mergeCells count="1">
    <mergeCell ref="B2:C2"/>
  </mergeCells>
  <phoneticPr fontId="21" type="noConversion"/>
  <pageMargins left="0.7" right="0.7" top="0.75" bottom="0.75" header="0.3" footer="0.3"/>
  <pageSetup orientation="portrait" verticalDpi="2" r:id="rId1"/>
  <ignoredErrors>
    <ignoredError sqref="C4:C5"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H53"/>
  <sheetViews>
    <sheetView workbookViewId="0">
      <selection activeCell="B10" sqref="B10"/>
    </sheetView>
  </sheetViews>
  <sheetFormatPr defaultColWidth="8.85546875" defaultRowHeight="15"/>
  <cols>
    <col min="1" max="1" width="22.85546875" style="174" customWidth="1"/>
    <col min="2" max="2" width="50.7109375" style="174" customWidth="1"/>
    <col min="3" max="3" width="11.7109375" style="198" customWidth="1"/>
    <col min="4" max="4" width="8.7109375" style="198" customWidth="1"/>
    <col min="5" max="5" width="10" style="198" customWidth="1"/>
    <col min="6" max="6" width="10.28515625" style="198" customWidth="1"/>
    <col min="7" max="7" width="27.42578125" style="198" customWidth="1"/>
    <col min="8" max="8" width="69.7109375" style="174" customWidth="1"/>
    <col min="9" max="16384" width="8.85546875" style="174"/>
  </cols>
  <sheetData>
    <row r="1" spans="1:8" ht="18.75">
      <c r="A1" s="262" t="s">
        <v>395</v>
      </c>
      <c r="B1" s="262"/>
      <c r="C1" s="194"/>
      <c r="D1" s="194"/>
      <c r="E1" s="194"/>
      <c r="F1" s="194"/>
      <c r="G1" s="194"/>
      <c r="H1" s="216"/>
    </row>
    <row r="2" spans="1:8">
      <c r="A2" s="175"/>
      <c r="B2" s="176" t="s">
        <v>103</v>
      </c>
      <c r="C2" s="195" t="s">
        <v>26</v>
      </c>
      <c r="D2" s="195" t="s">
        <v>2</v>
      </c>
      <c r="E2" s="195" t="s">
        <v>3</v>
      </c>
      <c r="F2" s="195" t="s">
        <v>4</v>
      </c>
      <c r="G2" s="200" t="s">
        <v>208</v>
      </c>
      <c r="H2" s="162" t="s">
        <v>127</v>
      </c>
    </row>
    <row r="3" spans="1:8" ht="31.5" customHeight="1">
      <c r="A3" s="261" t="s">
        <v>142</v>
      </c>
      <c r="B3" s="162" t="s">
        <v>119</v>
      </c>
      <c r="C3" s="186">
        <f>((0.25+0.5)/2)*900</f>
        <v>337.5</v>
      </c>
      <c r="D3" s="186">
        <f>C3</f>
        <v>337.5</v>
      </c>
      <c r="E3" s="186">
        <f t="shared" ref="E3:G3" si="0">D3</f>
        <v>337.5</v>
      </c>
      <c r="F3" s="186">
        <f t="shared" si="0"/>
        <v>337.5</v>
      </c>
      <c r="G3" s="186">
        <f t="shared" si="0"/>
        <v>337.5</v>
      </c>
      <c r="H3" s="173" t="s">
        <v>345</v>
      </c>
    </row>
    <row r="4" spans="1:8" ht="30">
      <c r="A4" s="177" t="s">
        <v>143</v>
      </c>
      <c r="B4" s="178" t="s">
        <v>120</v>
      </c>
      <c r="C4" s="196">
        <v>0</v>
      </c>
      <c r="D4" s="196">
        <v>0</v>
      </c>
      <c r="E4" s="196">
        <v>5</v>
      </c>
      <c r="F4" s="196">
        <v>12</v>
      </c>
      <c r="G4" s="196">
        <v>46</v>
      </c>
      <c r="H4" s="172" t="s">
        <v>192</v>
      </c>
    </row>
    <row r="5" spans="1:8">
      <c r="A5" s="204" t="s">
        <v>15</v>
      </c>
      <c r="B5" s="205" t="s">
        <v>92</v>
      </c>
      <c r="C5" s="206">
        <v>13969.896519285041</v>
      </c>
      <c r="D5" s="207"/>
      <c r="E5" s="207"/>
      <c r="F5" s="207"/>
      <c r="G5" s="207"/>
      <c r="H5" s="205"/>
    </row>
    <row r="6" spans="1:8">
      <c r="A6" s="179" t="s">
        <v>78</v>
      </c>
      <c r="B6" s="162" t="s">
        <v>136</v>
      </c>
      <c r="C6" s="186">
        <v>155.22107243650046</v>
      </c>
      <c r="D6" s="197"/>
      <c r="F6" s="197"/>
      <c r="G6" s="186"/>
      <c r="H6" s="248"/>
    </row>
    <row r="7" spans="1:8">
      <c r="A7" s="179" t="s">
        <v>78</v>
      </c>
      <c r="B7" s="162" t="s">
        <v>209</v>
      </c>
      <c r="C7" s="186">
        <v>258.70178739416741</v>
      </c>
      <c r="D7" s="197"/>
      <c r="F7" s="197"/>
      <c r="G7" s="186"/>
      <c r="H7" s="248"/>
    </row>
    <row r="8" spans="1:8" ht="15" customHeight="1">
      <c r="A8" s="283" t="s">
        <v>78</v>
      </c>
      <c r="B8" s="284" t="s">
        <v>210</v>
      </c>
      <c r="C8" s="285">
        <v>103.48071495766698</v>
      </c>
      <c r="D8" s="286"/>
      <c r="E8" s="287"/>
      <c r="F8" s="286"/>
      <c r="G8" s="286"/>
      <c r="H8" s="288"/>
    </row>
    <row r="9" spans="1:8">
      <c r="A9" s="179" t="s">
        <v>79</v>
      </c>
      <c r="B9" s="162" t="s">
        <v>90</v>
      </c>
      <c r="C9" s="208">
        <v>726</v>
      </c>
      <c r="D9" s="197"/>
      <c r="E9" s="197"/>
      <c r="F9" s="197"/>
      <c r="G9" s="197"/>
      <c r="H9" s="162"/>
    </row>
    <row r="10" spans="1:8">
      <c r="A10" s="179" t="s">
        <v>79</v>
      </c>
      <c r="B10" s="162" t="s">
        <v>99</v>
      </c>
      <c r="C10" s="186">
        <v>6.467544684854186</v>
      </c>
      <c r="D10" s="197"/>
      <c r="E10" s="197"/>
      <c r="F10" s="197"/>
      <c r="G10" s="197"/>
      <c r="H10" s="162"/>
    </row>
    <row r="11" spans="1:8">
      <c r="A11" s="283" t="s">
        <v>79</v>
      </c>
      <c r="B11" s="284" t="s">
        <v>211</v>
      </c>
      <c r="C11" s="285">
        <v>751.26999059266223</v>
      </c>
      <c r="D11" s="286"/>
      <c r="E11" s="286"/>
      <c r="F11" s="286"/>
      <c r="G11" s="286"/>
      <c r="H11" s="284"/>
    </row>
    <row r="12" spans="1:8">
      <c r="A12" s="179" t="s">
        <v>10</v>
      </c>
      <c r="B12" s="248" t="s">
        <v>108</v>
      </c>
      <c r="C12" s="186">
        <f>SUM(C13:C19)</f>
        <v>2341.6340545625585</v>
      </c>
      <c r="D12" s="186"/>
      <c r="E12" s="186"/>
      <c r="F12" s="186"/>
      <c r="G12" s="186"/>
      <c r="H12" s="161" t="s">
        <v>187</v>
      </c>
    </row>
    <row r="13" spans="1:8">
      <c r="A13" s="179" t="s">
        <v>10</v>
      </c>
      <c r="B13" s="209" t="s">
        <v>28</v>
      </c>
      <c r="C13" s="186">
        <v>478.08090310442145</v>
      </c>
      <c r="D13" s="186"/>
      <c r="E13" s="186"/>
      <c r="F13" s="186"/>
      <c r="G13" s="186"/>
      <c r="H13" s="147"/>
    </row>
    <row r="14" spans="1:8">
      <c r="A14" s="179" t="s">
        <v>10</v>
      </c>
      <c r="B14" s="209" t="s">
        <v>212</v>
      </c>
      <c r="C14" s="186">
        <v>182.44684854186264</v>
      </c>
      <c r="D14" s="186"/>
      <c r="E14" s="186"/>
      <c r="F14" s="186"/>
      <c r="G14" s="186"/>
      <c r="H14" s="147"/>
    </row>
    <row r="15" spans="1:8">
      <c r="A15" s="179" t="s">
        <v>10</v>
      </c>
      <c r="B15" s="209" t="s">
        <v>213</v>
      </c>
      <c r="C15" s="186">
        <v>16.101599247412981</v>
      </c>
      <c r="D15" s="186"/>
      <c r="E15" s="186"/>
      <c r="F15" s="186"/>
      <c r="G15" s="186"/>
      <c r="H15" s="147"/>
    </row>
    <row r="16" spans="1:8">
      <c r="A16" s="179" t="s">
        <v>10</v>
      </c>
      <c r="B16" s="209" t="s">
        <v>214</v>
      </c>
      <c r="C16" s="186">
        <v>569.14393226716834</v>
      </c>
      <c r="D16" s="186"/>
      <c r="E16" s="186"/>
      <c r="F16" s="186"/>
      <c r="G16" s="186"/>
      <c r="H16" s="147"/>
    </row>
    <row r="17" spans="1:8">
      <c r="A17" s="179" t="s">
        <v>10</v>
      </c>
      <c r="B17" s="209" t="s">
        <v>215</v>
      </c>
      <c r="C17" s="186">
        <v>186.26528692380055</v>
      </c>
      <c r="D17" s="186"/>
      <c r="E17" s="186"/>
      <c r="F17" s="186"/>
      <c r="G17" s="186"/>
      <c r="H17" s="147"/>
    </row>
    <row r="18" spans="1:8">
      <c r="A18" s="179" t="s">
        <v>10</v>
      </c>
      <c r="B18" s="209" t="s">
        <v>216</v>
      </c>
      <c r="C18" s="186">
        <v>242.14487300094072</v>
      </c>
      <c r="D18" s="186"/>
      <c r="E18" s="186"/>
      <c r="F18" s="186"/>
      <c r="G18" s="186"/>
      <c r="H18" s="147"/>
    </row>
    <row r="19" spans="1:8">
      <c r="A19" s="177" t="s">
        <v>10</v>
      </c>
      <c r="B19" s="209" t="s">
        <v>57</v>
      </c>
      <c r="C19" s="186">
        <v>667.45061147695196</v>
      </c>
      <c r="D19" s="186"/>
      <c r="E19" s="186"/>
      <c r="F19" s="186"/>
      <c r="G19" s="186"/>
      <c r="H19" s="210"/>
    </row>
    <row r="20" spans="1:8">
      <c r="A20" s="180" t="s">
        <v>93</v>
      </c>
      <c r="B20" s="183" t="s">
        <v>218</v>
      </c>
      <c r="C20" s="191">
        <v>776.10536218250229</v>
      </c>
      <c r="D20" s="191"/>
      <c r="E20" s="191"/>
      <c r="F20" s="191"/>
      <c r="G20" s="191"/>
      <c r="H20" s="184"/>
    </row>
    <row r="21" spans="1:8">
      <c r="A21" s="179" t="s">
        <v>93</v>
      </c>
      <c r="B21" s="182" t="s">
        <v>109</v>
      </c>
      <c r="C21" s="186">
        <v>103.48071495766698</v>
      </c>
      <c r="D21" s="186"/>
      <c r="E21" s="186"/>
      <c r="F21" s="186"/>
      <c r="G21" s="186"/>
      <c r="H21" s="184"/>
    </row>
    <row r="22" spans="1:8">
      <c r="A22" s="179" t="s">
        <v>93</v>
      </c>
      <c r="B22" s="306" t="s">
        <v>117</v>
      </c>
      <c r="C22" s="186">
        <v>155.22107243650046</v>
      </c>
      <c r="D22" s="186"/>
      <c r="E22" s="186"/>
      <c r="F22" s="186"/>
      <c r="G22" s="186"/>
      <c r="H22" s="161"/>
    </row>
    <row r="23" spans="1:8">
      <c r="A23" s="177" t="s">
        <v>93</v>
      </c>
      <c r="B23" s="185" t="s">
        <v>217</v>
      </c>
      <c r="C23" s="192">
        <v>1552.2107243650046</v>
      </c>
      <c r="D23" s="192"/>
      <c r="E23" s="192"/>
      <c r="F23" s="192"/>
      <c r="G23" s="192"/>
      <c r="H23" s="210"/>
    </row>
    <row r="24" spans="1:8">
      <c r="A24" s="289" t="s">
        <v>96</v>
      </c>
      <c r="B24" s="290" t="s">
        <v>219</v>
      </c>
      <c r="C24" s="292">
        <v>298.02445907808089</v>
      </c>
      <c r="D24" s="292">
        <v>745.06114769520218</v>
      </c>
      <c r="E24" s="292">
        <v>1117.5917215428033</v>
      </c>
      <c r="F24" s="292">
        <v>1490.1222953904044</v>
      </c>
      <c r="G24" s="292">
        <v>1303.8570084666039</v>
      </c>
      <c r="H24" s="291"/>
    </row>
    <row r="25" spans="1:8">
      <c r="A25" s="179" t="s">
        <v>97</v>
      </c>
      <c r="B25" s="162" t="s">
        <v>220</v>
      </c>
      <c r="C25" s="186">
        <v>0</v>
      </c>
      <c r="D25" s="186">
        <v>149.01222953904045</v>
      </c>
      <c r="E25" s="186">
        <v>298.02445907808089</v>
      </c>
      <c r="F25" s="186">
        <v>596.04891815616179</v>
      </c>
      <c r="G25" s="186">
        <v>596.04891815616179</v>
      </c>
      <c r="H25" s="250"/>
    </row>
    <row r="26" spans="1:8">
      <c r="A26" s="289" t="s">
        <v>81</v>
      </c>
      <c r="B26" s="291" t="s">
        <v>221</v>
      </c>
      <c r="C26" s="292">
        <v>362.18250235183439</v>
      </c>
      <c r="D26" s="292">
        <v>362.18250235183439</v>
      </c>
      <c r="E26" s="292">
        <v>362.18250235183439</v>
      </c>
      <c r="F26" s="292">
        <v>362.18250235183439</v>
      </c>
      <c r="G26" s="292">
        <v>362.18250235183439</v>
      </c>
      <c r="H26" s="293"/>
    </row>
    <row r="27" spans="1:8">
      <c r="A27" s="289" t="s">
        <v>222</v>
      </c>
      <c r="B27" s="291" t="s">
        <v>226</v>
      </c>
      <c r="C27" s="292">
        <v>124.17685794920037</v>
      </c>
      <c r="D27" s="292">
        <v>124.17685794920037</v>
      </c>
      <c r="E27" s="292">
        <v>124.17685794920037</v>
      </c>
      <c r="F27" s="292">
        <v>124.17685794920037</v>
      </c>
      <c r="G27" s="292">
        <v>124.17685794920037</v>
      </c>
      <c r="H27" s="295"/>
    </row>
    <row r="28" spans="1:8">
      <c r="A28" s="177" t="s">
        <v>95</v>
      </c>
      <c r="B28" s="294" t="s">
        <v>223</v>
      </c>
      <c r="C28" s="285">
        <v>0</v>
      </c>
      <c r="D28" s="285">
        <v>62.088428974600184</v>
      </c>
      <c r="E28" s="285">
        <v>62.088428974600184</v>
      </c>
      <c r="F28" s="285">
        <v>62.088428974600184</v>
      </c>
      <c r="G28" s="285">
        <v>256.63217309501408</v>
      </c>
      <c r="H28" s="284"/>
    </row>
    <row r="29" spans="1:8">
      <c r="A29" s="179" t="s">
        <v>94</v>
      </c>
      <c r="B29" s="162" t="s">
        <v>137</v>
      </c>
      <c r="C29" s="186">
        <v>0</v>
      </c>
      <c r="D29" s="186">
        <v>0</v>
      </c>
      <c r="E29" s="186">
        <v>0</v>
      </c>
      <c r="F29" s="186">
        <v>0</v>
      </c>
      <c r="G29" s="186">
        <v>0</v>
      </c>
      <c r="H29" s="161"/>
    </row>
    <row r="30" spans="1:8">
      <c r="A30" s="179" t="s">
        <v>94</v>
      </c>
      <c r="B30" s="174" t="s">
        <v>82</v>
      </c>
      <c r="C30" s="187">
        <v>149.01222953904045</v>
      </c>
      <c r="D30" s="187">
        <v>149.01222953904045</v>
      </c>
      <c r="E30" s="187">
        <v>149.01222953904045</v>
      </c>
      <c r="F30" s="187">
        <v>149.01222953904045</v>
      </c>
      <c r="G30" s="187">
        <v>149.01222953904045</v>
      </c>
      <c r="H30" s="187"/>
    </row>
    <row r="31" spans="1:8">
      <c r="A31" s="283" t="s">
        <v>100</v>
      </c>
      <c r="B31" s="284" t="s">
        <v>224</v>
      </c>
      <c r="C31" s="285">
        <v>496.70743179680147</v>
      </c>
      <c r="D31" s="285">
        <v>496.70743179680147</v>
      </c>
      <c r="E31" s="285">
        <v>496.70743179680147</v>
      </c>
      <c r="F31" s="285">
        <v>496.70743179680147</v>
      </c>
      <c r="G31" s="285">
        <v>496.70743179680147</v>
      </c>
      <c r="H31" s="284"/>
    </row>
    <row r="32" spans="1:8">
      <c r="A32" s="179" t="s">
        <v>101</v>
      </c>
      <c r="B32" s="162" t="s">
        <v>83</v>
      </c>
      <c r="C32" s="186"/>
      <c r="D32" s="186"/>
      <c r="E32" s="186">
        <v>51.740357478833488</v>
      </c>
      <c r="F32" s="186">
        <v>51.740357478833488</v>
      </c>
      <c r="G32" s="186">
        <v>51.740357478833488</v>
      </c>
      <c r="H32" s="161"/>
    </row>
    <row r="33" spans="1:8">
      <c r="A33" s="177" t="s">
        <v>101</v>
      </c>
      <c r="B33" s="178" t="s">
        <v>84</v>
      </c>
      <c r="C33" s="196"/>
      <c r="D33" s="196"/>
      <c r="E33" s="196">
        <v>1</v>
      </c>
      <c r="F33" s="196">
        <v>1</v>
      </c>
      <c r="G33" s="196">
        <v>1</v>
      </c>
      <c r="H33" s="202"/>
    </row>
    <row r="34" spans="1:8" ht="15" customHeight="1">
      <c r="A34" s="146" t="s">
        <v>80</v>
      </c>
      <c r="B34" s="137" t="s">
        <v>128</v>
      </c>
      <c r="C34" s="158">
        <v>51.740357478833488</v>
      </c>
      <c r="D34" s="158">
        <v>51.740357478833488</v>
      </c>
      <c r="E34" s="158">
        <v>51.740357478833488</v>
      </c>
      <c r="F34" s="158">
        <v>51.740357478833488</v>
      </c>
      <c r="G34" s="158">
        <v>51.740357478833488</v>
      </c>
      <c r="H34" s="214"/>
    </row>
    <row r="35" spans="1:8" ht="15" customHeight="1">
      <c r="A35" s="146" t="s">
        <v>80</v>
      </c>
      <c r="B35" s="138" t="s">
        <v>129</v>
      </c>
      <c r="C35" s="158">
        <v>51.740357478833488</v>
      </c>
      <c r="D35" s="158">
        <v>77.610536218250232</v>
      </c>
      <c r="E35" s="158">
        <v>103.48071495766698</v>
      </c>
      <c r="F35" s="158">
        <v>124.17685794920037</v>
      </c>
      <c r="G35" s="158">
        <v>144.87300094073376</v>
      </c>
      <c r="H35" s="188"/>
    </row>
    <row r="36" spans="1:8" ht="15" customHeight="1">
      <c r="A36" s="211" t="s">
        <v>80</v>
      </c>
      <c r="B36" s="212" t="s">
        <v>225</v>
      </c>
      <c r="C36" s="213">
        <v>72.43650047036688</v>
      </c>
      <c r="D36" s="213">
        <v>72.43650047036688</v>
      </c>
      <c r="E36" s="213">
        <v>113.82878645343368</v>
      </c>
      <c r="F36" s="213">
        <v>134.52492944496706</v>
      </c>
      <c r="G36" s="213">
        <v>144.87300094073376</v>
      </c>
      <c r="H36" s="210"/>
    </row>
    <row r="37" spans="1:8">
      <c r="A37" s="180" t="s">
        <v>198</v>
      </c>
      <c r="B37" s="181" t="s">
        <v>201</v>
      </c>
      <c r="C37" s="191"/>
      <c r="D37" s="191"/>
      <c r="E37" s="191">
        <v>83.819379115710248</v>
      </c>
      <c r="F37" s="191">
        <v>83.819379115710248</v>
      </c>
      <c r="G37" s="191">
        <v>83.819379115710248</v>
      </c>
      <c r="H37" s="275" t="s">
        <v>199</v>
      </c>
    </row>
    <row r="38" spans="1:8">
      <c r="A38" s="448" t="s">
        <v>198</v>
      </c>
      <c r="B38" s="449" t="s">
        <v>200</v>
      </c>
      <c r="C38" s="450"/>
      <c r="D38" s="450"/>
      <c r="E38" s="451">
        <v>0.77</v>
      </c>
      <c r="F38" s="451">
        <f>E38</f>
        <v>0.77</v>
      </c>
      <c r="G38" s="451">
        <f>F38</f>
        <v>0.77</v>
      </c>
      <c r="H38" s="452"/>
    </row>
    <row r="39" spans="1:8">
      <c r="A39" s="448" t="s">
        <v>198</v>
      </c>
      <c r="B39" s="449" t="s">
        <v>202</v>
      </c>
      <c r="C39" s="450"/>
      <c r="D39" s="450"/>
      <c r="E39" s="453">
        <v>0.97</v>
      </c>
      <c r="F39" s="453">
        <f>E39</f>
        <v>0.97</v>
      </c>
      <c r="G39" s="453">
        <f>F39</f>
        <v>0.97</v>
      </c>
      <c r="H39" s="452" t="s">
        <v>207</v>
      </c>
    </row>
    <row r="40" spans="1:8">
      <c r="A40" s="454" t="s">
        <v>198</v>
      </c>
      <c r="B40" s="455" t="s">
        <v>203</v>
      </c>
      <c r="C40" s="456"/>
      <c r="D40" s="456"/>
      <c r="E40" s="457">
        <v>120</v>
      </c>
      <c r="F40" s="457">
        <v>120</v>
      </c>
      <c r="G40" s="457">
        <v>120</v>
      </c>
      <c r="H40" s="458"/>
    </row>
    <row r="41" spans="1:8" ht="30">
      <c r="A41" s="179" t="s">
        <v>131</v>
      </c>
      <c r="B41" s="189" t="s">
        <v>102</v>
      </c>
      <c r="C41" s="187">
        <v>186.26528692380055</v>
      </c>
      <c r="D41" s="187">
        <v>186.26528692380055</v>
      </c>
      <c r="E41" s="187">
        <v>186.26528692380055</v>
      </c>
      <c r="F41" s="187">
        <v>186.26528692380055</v>
      </c>
      <c r="G41" s="187">
        <v>186.26528692380055</v>
      </c>
      <c r="H41" s="215" t="s">
        <v>130</v>
      </c>
    </row>
    <row r="42" spans="1:8">
      <c r="A42" s="179" t="s">
        <v>131</v>
      </c>
      <c r="B42" s="189" t="s">
        <v>115</v>
      </c>
      <c r="C42" s="187">
        <v>206.96142991533395</v>
      </c>
      <c r="D42" s="187">
        <v>206.96142991533395</v>
      </c>
      <c r="E42" s="187">
        <v>206.96142991533395</v>
      </c>
      <c r="F42" s="187">
        <v>206.96142991533395</v>
      </c>
      <c r="G42" s="187">
        <v>206.96142991533395</v>
      </c>
      <c r="H42" s="188"/>
    </row>
    <row r="43" spans="1:8">
      <c r="A43" s="179" t="s">
        <v>131</v>
      </c>
      <c r="B43" s="174" t="s">
        <v>62</v>
      </c>
      <c r="C43" s="187">
        <v>139.69896519285041</v>
      </c>
      <c r="D43" s="187">
        <v>139.69896519285041</v>
      </c>
      <c r="E43" s="187">
        <v>139.69896519285041</v>
      </c>
      <c r="F43" s="187">
        <v>139.69896519285041</v>
      </c>
      <c r="G43" s="187">
        <v>139.69896519285041</v>
      </c>
      <c r="H43" s="188"/>
    </row>
    <row r="44" spans="1:8">
      <c r="A44" s="179" t="s">
        <v>131</v>
      </c>
      <c r="B44" s="189" t="s">
        <v>66</v>
      </c>
      <c r="C44" s="187">
        <v>51.740357478833488</v>
      </c>
      <c r="D44" s="187">
        <v>51.740357478833488</v>
      </c>
      <c r="E44" s="187">
        <v>51.740357478833488</v>
      </c>
      <c r="F44" s="187">
        <v>51.740357478833488</v>
      </c>
      <c r="G44" s="187">
        <v>51.740357478833488</v>
      </c>
      <c r="H44" s="188"/>
    </row>
    <row r="45" spans="1:8">
      <c r="A45" s="179" t="s">
        <v>131</v>
      </c>
      <c r="B45" s="182" t="s">
        <v>169</v>
      </c>
      <c r="C45" s="186">
        <v>310.44214487300093</v>
      </c>
      <c r="D45" s="186">
        <v>310.44214487300093</v>
      </c>
      <c r="E45" s="186">
        <v>310.44214487300093</v>
      </c>
      <c r="F45" s="186">
        <v>310.44214487300093</v>
      </c>
      <c r="G45" s="186">
        <v>310.44214487300093</v>
      </c>
      <c r="H45" s="190"/>
    </row>
    <row r="46" spans="1:8">
      <c r="A46" s="179" t="s">
        <v>131</v>
      </c>
      <c r="B46" s="162" t="s">
        <v>107</v>
      </c>
      <c r="C46" s="199">
        <v>0.05</v>
      </c>
      <c r="D46" s="199">
        <v>0.05</v>
      </c>
      <c r="E46" s="199">
        <v>0.05</v>
      </c>
      <c r="F46" s="199">
        <v>0.05</v>
      </c>
      <c r="G46" s="199">
        <v>0.05</v>
      </c>
      <c r="H46" s="193"/>
    </row>
    <row r="47" spans="1:8">
      <c r="A47" s="179" t="s">
        <v>131</v>
      </c>
      <c r="B47" s="162" t="s">
        <v>85</v>
      </c>
      <c r="C47" s="199">
        <v>0.05</v>
      </c>
      <c r="D47" s="199">
        <v>0.05</v>
      </c>
      <c r="E47" s="199">
        <v>0.05</v>
      </c>
      <c r="F47" s="199">
        <v>0.05</v>
      </c>
      <c r="G47" s="199">
        <v>0.05</v>
      </c>
      <c r="H47" s="193"/>
    </row>
    <row r="48" spans="1:8">
      <c r="A48" s="179" t="s">
        <v>131</v>
      </c>
      <c r="B48" s="162" t="s">
        <v>86</v>
      </c>
      <c r="C48" s="199">
        <v>0.05</v>
      </c>
      <c r="D48" s="199">
        <v>0.05</v>
      </c>
      <c r="E48" s="199">
        <v>0.05</v>
      </c>
      <c r="F48" s="199">
        <v>0.05</v>
      </c>
      <c r="G48" s="199">
        <v>0</v>
      </c>
      <c r="H48" s="193"/>
    </row>
    <row r="49" spans="1:8">
      <c r="A49" s="179" t="s">
        <v>131</v>
      </c>
      <c r="B49" s="162" t="s">
        <v>87</v>
      </c>
      <c r="C49" s="197">
        <v>1</v>
      </c>
      <c r="D49" s="197">
        <v>1</v>
      </c>
      <c r="E49" s="197">
        <v>1</v>
      </c>
      <c r="F49" s="197">
        <v>1</v>
      </c>
      <c r="G49" s="197">
        <v>0.75</v>
      </c>
      <c r="H49" s="162"/>
    </row>
    <row r="50" spans="1:8" ht="12.75" customHeight="1">
      <c r="A50" s="179" t="s">
        <v>131</v>
      </c>
      <c r="B50" s="162" t="s">
        <v>88</v>
      </c>
      <c r="C50" s="197">
        <v>11</v>
      </c>
      <c r="D50" s="197">
        <v>11</v>
      </c>
      <c r="E50" s="197">
        <v>11</v>
      </c>
      <c r="F50" s="197">
        <v>11</v>
      </c>
      <c r="G50" s="197">
        <v>11</v>
      </c>
      <c r="H50" s="162"/>
    </row>
    <row r="51" spans="1:8">
      <c r="A51" s="179" t="s">
        <v>131</v>
      </c>
      <c r="B51" s="162" t="s">
        <v>89</v>
      </c>
      <c r="C51" s="197">
        <v>10</v>
      </c>
      <c r="D51" s="197">
        <v>10</v>
      </c>
      <c r="E51" s="197">
        <v>10</v>
      </c>
      <c r="F51" s="197">
        <v>10</v>
      </c>
      <c r="G51" s="197">
        <v>10</v>
      </c>
      <c r="H51" s="162"/>
    </row>
    <row r="52" spans="1:8">
      <c r="A52" s="179" t="s">
        <v>131</v>
      </c>
      <c r="B52" s="162" t="s">
        <v>114</v>
      </c>
      <c r="C52" s="208">
        <v>726</v>
      </c>
      <c r="D52" s="208">
        <v>726</v>
      </c>
      <c r="E52" s="208">
        <v>726</v>
      </c>
      <c r="F52" s="208">
        <v>726</v>
      </c>
      <c r="G52" s="208">
        <v>726</v>
      </c>
      <c r="H52" s="162"/>
    </row>
    <row r="53" spans="1:8">
      <c r="A53" s="201" t="s">
        <v>131</v>
      </c>
      <c r="B53" s="202" t="s">
        <v>91</v>
      </c>
      <c r="C53" s="203">
        <v>10</v>
      </c>
      <c r="D53" s="203">
        <v>10</v>
      </c>
      <c r="E53" s="203">
        <v>10</v>
      </c>
      <c r="F53" s="203">
        <v>10</v>
      </c>
      <c r="G53" s="203">
        <v>10</v>
      </c>
      <c r="H53" s="202"/>
    </row>
  </sheetData>
  <phoneticPr fontId="39" type="noConversion"/>
  <pageMargins left="0.7" right="0.7" top="0.75" bottom="0.75" header="0.3" footer="0.3"/>
  <pageSetup orientation="portrait" horizontalDpi="1200" verticalDpi="1200"/>
  <ignoredErrors>
    <ignoredError sqref="C12"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B1:Y43"/>
  <sheetViews>
    <sheetView workbookViewId="0">
      <selection activeCell="B2" sqref="B2"/>
    </sheetView>
  </sheetViews>
  <sheetFormatPr defaultColWidth="8.85546875" defaultRowHeight="15"/>
  <cols>
    <col min="1" max="1" width="4.140625" style="85" customWidth="1"/>
    <col min="2" max="2" width="9.140625" style="387" customWidth="1"/>
    <col min="3" max="4" width="14" style="85" customWidth="1"/>
    <col min="5" max="6" width="14.140625" style="386" customWidth="1"/>
    <col min="7" max="7" width="8.85546875" style="85"/>
    <col min="8" max="8" width="9.140625" style="387" customWidth="1"/>
    <col min="9" max="10" width="14" style="85" customWidth="1"/>
    <col min="11" max="12" width="14.140625" style="386" customWidth="1"/>
    <col min="13" max="13" width="21.5703125" style="85" customWidth="1"/>
    <col min="14" max="15" width="8.85546875" style="85"/>
    <col min="16" max="16" width="9.140625" style="387" customWidth="1"/>
    <col min="17" max="18" width="14" style="85" customWidth="1"/>
    <col min="19" max="20" width="14.140625" style="386" customWidth="1"/>
    <col min="21" max="21" width="21.5703125" style="85" customWidth="1"/>
    <col min="22" max="257" width="8.85546875" style="85"/>
    <col min="258" max="258" width="4.140625" style="85" customWidth="1"/>
    <col min="259" max="259" width="7.28515625" style="85" customWidth="1"/>
    <col min="260" max="261" width="14" style="85" customWidth="1"/>
    <col min="262" max="262" width="14.140625" style="85" customWidth="1"/>
    <col min="263" max="513" width="8.85546875" style="85"/>
    <col min="514" max="514" width="4.140625" style="85" customWidth="1"/>
    <col min="515" max="515" width="7.28515625" style="85" customWidth="1"/>
    <col min="516" max="517" width="14" style="85" customWidth="1"/>
    <col min="518" max="518" width="14.140625" style="85" customWidth="1"/>
    <col min="519" max="769" width="8.85546875" style="85"/>
    <col min="770" max="770" width="4.140625" style="85" customWidth="1"/>
    <col min="771" max="771" width="7.28515625" style="85" customWidth="1"/>
    <col min="772" max="773" width="14" style="85" customWidth="1"/>
    <col min="774" max="774" width="14.140625" style="85" customWidth="1"/>
    <col min="775" max="1025" width="8.85546875" style="85"/>
    <col min="1026" max="1026" width="4.140625" style="85" customWidth="1"/>
    <col min="1027" max="1027" width="7.28515625" style="85" customWidth="1"/>
    <col min="1028" max="1029" width="14" style="85" customWidth="1"/>
    <col min="1030" max="1030" width="14.140625" style="85" customWidth="1"/>
    <col min="1031" max="1281" width="8.85546875" style="85"/>
    <col min="1282" max="1282" width="4.140625" style="85" customWidth="1"/>
    <col min="1283" max="1283" width="7.28515625" style="85" customWidth="1"/>
    <col min="1284" max="1285" width="14" style="85" customWidth="1"/>
    <col min="1286" max="1286" width="14.140625" style="85" customWidth="1"/>
    <col min="1287" max="1537" width="8.85546875" style="85"/>
    <col min="1538" max="1538" width="4.140625" style="85" customWidth="1"/>
    <col min="1539" max="1539" width="7.28515625" style="85" customWidth="1"/>
    <col min="1540" max="1541" width="14" style="85" customWidth="1"/>
    <col min="1542" max="1542" width="14.140625" style="85" customWidth="1"/>
    <col min="1543" max="1793" width="8.85546875" style="85"/>
    <col min="1794" max="1794" width="4.140625" style="85" customWidth="1"/>
    <col min="1795" max="1795" width="7.28515625" style="85" customWidth="1"/>
    <col min="1796" max="1797" width="14" style="85" customWidth="1"/>
    <col min="1798" max="1798" width="14.140625" style="85" customWidth="1"/>
    <col min="1799" max="2049" width="8.85546875" style="85"/>
    <col min="2050" max="2050" width="4.140625" style="85" customWidth="1"/>
    <col min="2051" max="2051" width="7.28515625" style="85" customWidth="1"/>
    <col min="2052" max="2053" width="14" style="85" customWidth="1"/>
    <col min="2054" max="2054" width="14.140625" style="85" customWidth="1"/>
    <col min="2055" max="2305" width="8.85546875" style="85"/>
    <col min="2306" max="2306" width="4.140625" style="85" customWidth="1"/>
    <col min="2307" max="2307" width="7.28515625" style="85" customWidth="1"/>
    <col min="2308" max="2309" width="14" style="85" customWidth="1"/>
    <col min="2310" max="2310" width="14.140625" style="85" customWidth="1"/>
    <col min="2311" max="2561" width="8.85546875" style="85"/>
    <col min="2562" max="2562" width="4.140625" style="85" customWidth="1"/>
    <col min="2563" max="2563" width="7.28515625" style="85" customWidth="1"/>
    <col min="2564" max="2565" width="14" style="85" customWidth="1"/>
    <col min="2566" max="2566" width="14.140625" style="85" customWidth="1"/>
    <col min="2567" max="2817" width="8.85546875" style="85"/>
    <col min="2818" max="2818" width="4.140625" style="85" customWidth="1"/>
    <col min="2819" max="2819" width="7.28515625" style="85" customWidth="1"/>
    <col min="2820" max="2821" width="14" style="85" customWidth="1"/>
    <col min="2822" max="2822" width="14.140625" style="85" customWidth="1"/>
    <col min="2823" max="3073" width="8.85546875" style="85"/>
    <col min="3074" max="3074" width="4.140625" style="85" customWidth="1"/>
    <col min="3075" max="3075" width="7.28515625" style="85" customWidth="1"/>
    <col min="3076" max="3077" width="14" style="85" customWidth="1"/>
    <col min="3078" max="3078" width="14.140625" style="85" customWidth="1"/>
    <col min="3079" max="3329" width="8.85546875" style="85"/>
    <col min="3330" max="3330" width="4.140625" style="85" customWidth="1"/>
    <col min="3331" max="3331" width="7.28515625" style="85" customWidth="1"/>
    <col min="3332" max="3333" width="14" style="85" customWidth="1"/>
    <col min="3334" max="3334" width="14.140625" style="85" customWidth="1"/>
    <col min="3335" max="3585" width="8.85546875" style="85"/>
    <col min="3586" max="3586" width="4.140625" style="85" customWidth="1"/>
    <col min="3587" max="3587" width="7.28515625" style="85" customWidth="1"/>
    <col min="3588" max="3589" width="14" style="85" customWidth="1"/>
    <col min="3590" max="3590" width="14.140625" style="85" customWidth="1"/>
    <col min="3591" max="3841" width="8.85546875" style="85"/>
    <col min="3842" max="3842" width="4.140625" style="85" customWidth="1"/>
    <col min="3843" max="3843" width="7.28515625" style="85" customWidth="1"/>
    <col min="3844" max="3845" width="14" style="85" customWidth="1"/>
    <col min="3846" max="3846" width="14.140625" style="85" customWidth="1"/>
    <col min="3847" max="4097" width="8.85546875" style="85"/>
    <col min="4098" max="4098" width="4.140625" style="85" customWidth="1"/>
    <col min="4099" max="4099" width="7.28515625" style="85" customWidth="1"/>
    <col min="4100" max="4101" width="14" style="85" customWidth="1"/>
    <col min="4102" max="4102" width="14.140625" style="85" customWidth="1"/>
    <col min="4103" max="4353" width="8.85546875" style="85"/>
    <col min="4354" max="4354" width="4.140625" style="85" customWidth="1"/>
    <col min="4355" max="4355" width="7.28515625" style="85" customWidth="1"/>
    <col min="4356" max="4357" width="14" style="85" customWidth="1"/>
    <col min="4358" max="4358" width="14.140625" style="85" customWidth="1"/>
    <col min="4359" max="4609" width="8.85546875" style="85"/>
    <col min="4610" max="4610" width="4.140625" style="85" customWidth="1"/>
    <col min="4611" max="4611" width="7.28515625" style="85" customWidth="1"/>
    <col min="4612" max="4613" width="14" style="85" customWidth="1"/>
    <col min="4614" max="4614" width="14.140625" style="85" customWidth="1"/>
    <col min="4615" max="4865" width="8.85546875" style="85"/>
    <col min="4866" max="4866" width="4.140625" style="85" customWidth="1"/>
    <col min="4867" max="4867" width="7.28515625" style="85" customWidth="1"/>
    <col min="4868" max="4869" width="14" style="85" customWidth="1"/>
    <col min="4870" max="4870" width="14.140625" style="85" customWidth="1"/>
    <col min="4871" max="5121" width="8.85546875" style="85"/>
    <col min="5122" max="5122" width="4.140625" style="85" customWidth="1"/>
    <col min="5123" max="5123" width="7.28515625" style="85" customWidth="1"/>
    <col min="5124" max="5125" width="14" style="85" customWidth="1"/>
    <col min="5126" max="5126" width="14.140625" style="85" customWidth="1"/>
    <col min="5127" max="5377" width="8.85546875" style="85"/>
    <col min="5378" max="5378" width="4.140625" style="85" customWidth="1"/>
    <col min="5379" max="5379" width="7.28515625" style="85" customWidth="1"/>
    <col min="5380" max="5381" width="14" style="85" customWidth="1"/>
    <col min="5382" max="5382" width="14.140625" style="85" customWidth="1"/>
    <col min="5383" max="5633" width="8.85546875" style="85"/>
    <col min="5634" max="5634" width="4.140625" style="85" customWidth="1"/>
    <col min="5635" max="5635" width="7.28515625" style="85" customWidth="1"/>
    <col min="5636" max="5637" width="14" style="85" customWidth="1"/>
    <col min="5638" max="5638" width="14.140625" style="85" customWidth="1"/>
    <col min="5639" max="5889" width="8.85546875" style="85"/>
    <col min="5890" max="5890" width="4.140625" style="85" customWidth="1"/>
    <col min="5891" max="5891" width="7.28515625" style="85" customWidth="1"/>
    <col min="5892" max="5893" width="14" style="85" customWidth="1"/>
    <col min="5894" max="5894" width="14.140625" style="85" customWidth="1"/>
    <col min="5895" max="6145" width="8.85546875" style="85"/>
    <col min="6146" max="6146" width="4.140625" style="85" customWidth="1"/>
    <col min="6147" max="6147" width="7.28515625" style="85" customWidth="1"/>
    <col min="6148" max="6149" width="14" style="85" customWidth="1"/>
    <col min="6150" max="6150" width="14.140625" style="85" customWidth="1"/>
    <col min="6151" max="6401" width="8.85546875" style="85"/>
    <col min="6402" max="6402" width="4.140625" style="85" customWidth="1"/>
    <col min="6403" max="6403" width="7.28515625" style="85" customWidth="1"/>
    <col min="6404" max="6405" width="14" style="85" customWidth="1"/>
    <col min="6406" max="6406" width="14.140625" style="85" customWidth="1"/>
    <col min="6407" max="6657" width="8.85546875" style="85"/>
    <col min="6658" max="6658" width="4.140625" style="85" customWidth="1"/>
    <col min="6659" max="6659" width="7.28515625" style="85" customWidth="1"/>
    <col min="6660" max="6661" width="14" style="85" customWidth="1"/>
    <col min="6662" max="6662" width="14.140625" style="85" customWidth="1"/>
    <col min="6663" max="6913" width="8.85546875" style="85"/>
    <col min="6914" max="6914" width="4.140625" style="85" customWidth="1"/>
    <col min="6915" max="6915" width="7.28515625" style="85" customWidth="1"/>
    <col min="6916" max="6917" width="14" style="85" customWidth="1"/>
    <col min="6918" max="6918" width="14.140625" style="85" customWidth="1"/>
    <col min="6919" max="7169" width="8.85546875" style="85"/>
    <col min="7170" max="7170" width="4.140625" style="85" customWidth="1"/>
    <col min="7171" max="7171" width="7.28515625" style="85" customWidth="1"/>
    <col min="7172" max="7173" width="14" style="85" customWidth="1"/>
    <col min="7174" max="7174" width="14.140625" style="85" customWidth="1"/>
    <col min="7175" max="7425" width="8.85546875" style="85"/>
    <col min="7426" max="7426" width="4.140625" style="85" customWidth="1"/>
    <col min="7427" max="7427" width="7.28515625" style="85" customWidth="1"/>
    <col min="7428" max="7429" width="14" style="85" customWidth="1"/>
    <col min="7430" max="7430" width="14.140625" style="85" customWidth="1"/>
    <col min="7431" max="7681" width="8.85546875" style="85"/>
    <col min="7682" max="7682" width="4.140625" style="85" customWidth="1"/>
    <col min="7683" max="7683" width="7.28515625" style="85" customWidth="1"/>
    <col min="7684" max="7685" width="14" style="85" customWidth="1"/>
    <col min="7686" max="7686" width="14.140625" style="85" customWidth="1"/>
    <col min="7687" max="7937" width="8.85546875" style="85"/>
    <col min="7938" max="7938" width="4.140625" style="85" customWidth="1"/>
    <col min="7939" max="7939" width="7.28515625" style="85" customWidth="1"/>
    <col min="7940" max="7941" width="14" style="85" customWidth="1"/>
    <col min="7942" max="7942" width="14.140625" style="85" customWidth="1"/>
    <col min="7943" max="8193" width="8.85546875" style="85"/>
    <col min="8194" max="8194" width="4.140625" style="85" customWidth="1"/>
    <col min="8195" max="8195" width="7.28515625" style="85" customWidth="1"/>
    <col min="8196" max="8197" width="14" style="85" customWidth="1"/>
    <col min="8198" max="8198" width="14.140625" style="85" customWidth="1"/>
    <col min="8199" max="8449" width="8.85546875" style="85"/>
    <col min="8450" max="8450" width="4.140625" style="85" customWidth="1"/>
    <col min="8451" max="8451" width="7.28515625" style="85" customWidth="1"/>
    <col min="8452" max="8453" width="14" style="85" customWidth="1"/>
    <col min="8454" max="8454" width="14.140625" style="85" customWidth="1"/>
    <col min="8455" max="8705" width="8.85546875" style="85"/>
    <col min="8706" max="8706" width="4.140625" style="85" customWidth="1"/>
    <col min="8707" max="8707" width="7.28515625" style="85" customWidth="1"/>
    <col min="8708" max="8709" width="14" style="85" customWidth="1"/>
    <col min="8710" max="8710" width="14.140625" style="85" customWidth="1"/>
    <col min="8711" max="8961" width="8.85546875" style="85"/>
    <col min="8962" max="8962" width="4.140625" style="85" customWidth="1"/>
    <col min="8963" max="8963" width="7.28515625" style="85" customWidth="1"/>
    <col min="8964" max="8965" width="14" style="85" customWidth="1"/>
    <col min="8966" max="8966" width="14.140625" style="85" customWidth="1"/>
    <col min="8967" max="9217" width="8.85546875" style="85"/>
    <col min="9218" max="9218" width="4.140625" style="85" customWidth="1"/>
    <col min="9219" max="9219" width="7.28515625" style="85" customWidth="1"/>
    <col min="9220" max="9221" width="14" style="85" customWidth="1"/>
    <col min="9222" max="9222" width="14.140625" style="85" customWidth="1"/>
    <col min="9223" max="9473" width="8.85546875" style="85"/>
    <col min="9474" max="9474" width="4.140625" style="85" customWidth="1"/>
    <col min="9475" max="9475" width="7.28515625" style="85" customWidth="1"/>
    <col min="9476" max="9477" width="14" style="85" customWidth="1"/>
    <col min="9478" max="9478" width="14.140625" style="85" customWidth="1"/>
    <col min="9479" max="9729" width="8.85546875" style="85"/>
    <col min="9730" max="9730" width="4.140625" style="85" customWidth="1"/>
    <col min="9731" max="9731" width="7.28515625" style="85" customWidth="1"/>
    <col min="9732" max="9733" width="14" style="85" customWidth="1"/>
    <col min="9734" max="9734" width="14.140625" style="85" customWidth="1"/>
    <col min="9735" max="9985" width="8.85546875" style="85"/>
    <col min="9986" max="9986" width="4.140625" style="85" customWidth="1"/>
    <col min="9987" max="9987" width="7.28515625" style="85" customWidth="1"/>
    <col min="9988" max="9989" width="14" style="85" customWidth="1"/>
    <col min="9990" max="9990" width="14.140625" style="85" customWidth="1"/>
    <col min="9991" max="10241" width="8.85546875" style="85"/>
    <col min="10242" max="10242" width="4.140625" style="85" customWidth="1"/>
    <col min="10243" max="10243" width="7.28515625" style="85" customWidth="1"/>
    <col min="10244" max="10245" width="14" style="85" customWidth="1"/>
    <col min="10246" max="10246" width="14.140625" style="85" customWidth="1"/>
    <col min="10247" max="10497" width="8.85546875" style="85"/>
    <col min="10498" max="10498" width="4.140625" style="85" customWidth="1"/>
    <col min="10499" max="10499" width="7.28515625" style="85" customWidth="1"/>
    <col min="10500" max="10501" width="14" style="85" customWidth="1"/>
    <col min="10502" max="10502" width="14.140625" style="85" customWidth="1"/>
    <col min="10503" max="10753" width="8.85546875" style="85"/>
    <col min="10754" max="10754" width="4.140625" style="85" customWidth="1"/>
    <col min="10755" max="10755" width="7.28515625" style="85" customWidth="1"/>
    <col min="10756" max="10757" width="14" style="85" customWidth="1"/>
    <col min="10758" max="10758" width="14.140625" style="85" customWidth="1"/>
    <col min="10759" max="11009" width="8.85546875" style="85"/>
    <col min="11010" max="11010" width="4.140625" style="85" customWidth="1"/>
    <col min="11011" max="11011" width="7.28515625" style="85" customWidth="1"/>
    <col min="11012" max="11013" width="14" style="85" customWidth="1"/>
    <col min="11014" max="11014" width="14.140625" style="85" customWidth="1"/>
    <col min="11015" max="11265" width="8.85546875" style="85"/>
    <col min="11266" max="11266" width="4.140625" style="85" customWidth="1"/>
    <col min="11267" max="11267" width="7.28515625" style="85" customWidth="1"/>
    <col min="11268" max="11269" width="14" style="85" customWidth="1"/>
    <col min="11270" max="11270" width="14.140625" style="85" customWidth="1"/>
    <col min="11271" max="11521" width="8.85546875" style="85"/>
    <col min="11522" max="11522" width="4.140625" style="85" customWidth="1"/>
    <col min="11523" max="11523" width="7.28515625" style="85" customWidth="1"/>
    <col min="11524" max="11525" width="14" style="85" customWidth="1"/>
    <col min="11526" max="11526" width="14.140625" style="85" customWidth="1"/>
    <col min="11527" max="11777" width="8.85546875" style="85"/>
    <col min="11778" max="11778" width="4.140625" style="85" customWidth="1"/>
    <col min="11779" max="11779" width="7.28515625" style="85" customWidth="1"/>
    <col min="11780" max="11781" width="14" style="85" customWidth="1"/>
    <col min="11782" max="11782" width="14.140625" style="85" customWidth="1"/>
    <col min="11783" max="12033" width="8.85546875" style="85"/>
    <col min="12034" max="12034" width="4.140625" style="85" customWidth="1"/>
    <col min="12035" max="12035" width="7.28515625" style="85" customWidth="1"/>
    <col min="12036" max="12037" width="14" style="85" customWidth="1"/>
    <col min="12038" max="12038" width="14.140625" style="85" customWidth="1"/>
    <col min="12039" max="12289" width="8.85546875" style="85"/>
    <col min="12290" max="12290" width="4.140625" style="85" customWidth="1"/>
    <col min="12291" max="12291" width="7.28515625" style="85" customWidth="1"/>
    <col min="12292" max="12293" width="14" style="85" customWidth="1"/>
    <col min="12294" max="12294" width="14.140625" style="85" customWidth="1"/>
    <col min="12295" max="12545" width="8.85546875" style="85"/>
    <col min="12546" max="12546" width="4.140625" style="85" customWidth="1"/>
    <col min="12547" max="12547" width="7.28515625" style="85" customWidth="1"/>
    <col min="12548" max="12549" width="14" style="85" customWidth="1"/>
    <col min="12550" max="12550" width="14.140625" style="85" customWidth="1"/>
    <col min="12551" max="12801" width="8.85546875" style="85"/>
    <col min="12802" max="12802" width="4.140625" style="85" customWidth="1"/>
    <col min="12803" max="12803" width="7.28515625" style="85" customWidth="1"/>
    <col min="12804" max="12805" width="14" style="85" customWidth="1"/>
    <col min="12806" max="12806" width="14.140625" style="85" customWidth="1"/>
    <col min="12807" max="13057" width="8.85546875" style="85"/>
    <col min="13058" max="13058" width="4.140625" style="85" customWidth="1"/>
    <col min="13059" max="13059" width="7.28515625" style="85" customWidth="1"/>
    <col min="13060" max="13061" width="14" style="85" customWidth="1"/>
    <col min="13062" max="13062" width="14.140625" style="85" customWidth="1"/>
    <col min="13063" max="13313" width="8.85546875" style="85"/>
    <col min="13314" max="13314" width="4.140625" style="85" customWidth="1"/>
    <col min="13315" max="13315" width="7.28515625" style="85" customWidth="1"/>
    <col min="13316" max="13317" width="14" style="85" customWidth="1"/>
    <col min="13318" max="13318" width="14.140625" style="85" customWidth="1"/>
    <col min="13319" max="13569" width="8.85546875" style="85"/>
    <col min="13570" max="13570" width="4.140625" style="85" customWidth="1"/>
    <col min="13571" max="13571" width="7.28515625" style="85" customWidth="1"/>
    <col min="13572" max="13573" width="14" style="85" customWidth="1"/>
    <col min="13574" max="13574" width="14.140625" style="85" customWidth="1"/>
    <col min="13575" max="13825" width="8.85546875" style="85"/>
    <col min="13826" max="13826" width="4.140625" style="85" customWidth="1"/>
    <col min="13827" max="13827" width="7.28515625" style="85" customWidth="1"/>
    <col min="13828" max="13829" width="14" style="85" customWidth="1"/>
    <col min="13830" max="13830" width="14.140625" style="85" customWidth="1"/>
    <col min="13831" max="14081" width="8.85546875" style="85"/>
    <col min="14082" max="14082" width="4.140625" style="85" customWidth="1"/>
    <col min="14083" max="14083" width="7.28515625" style="85" customWidth="1"/>
    <col min="14084" max="14085" width="14" style="85" customWidth="1"/>
    <col min="14086" max="14086" width="14.140625" style="85" customWidth="1"/>
    <col min="14087" max="14337" width="8.85546875" style="85"/>
    <col min="14338" max="14338" width="4.140625" style="85" customWidth="1"/>
    <col min="14339" max="14339" width="7.28515625" style="85" customWidth="1"/>
    <col min="14340" max="14341" width="14" style="85" customWidth="1"/>
    <col min="14342" max="14342" width="14.140625" style="85" customWidth="1"/>
    <col min="14343" max="14593" width="8.85546875" style="85"/>
    <col min="14594" max="14594" width="4.140625" style="85" customWidth="1"/>
    <col min="14595" max="14595" width="7.28515625" style="85" customWidth="1"/>
    <col min="14596" max="14597" width="14" style="85" customWidth="1"/>
    <col min="14598" max="14598" width="14.140625" style="85" customWidth="1"/>
    <col min="14599" max="14849" width="8.85546875" style="85"/>
    <col min="14850" max="14850" width="4.140625" style="85" customWidth="1"/>
    <col min="14851" max="14851" width="7.28515625" style="85" customWidth="1"/>
    <col min="14852" max="14853" width="14" style="85" customWidth="1"/>
    <col min="14854" max="14854" width="14.140625" style="85" customWidth="1"/>
    <col min="14855" max="15105" width="8.85546875" style="85"/>
    <col min="15106" max="15106" width="4.140625" style="85" customWidth="1"/>
    <col min="15107" max="15107" width="7.28515625" style="85" customWidth="1"/>
    <col min="15108" max="15109" width="14" style="85" customWidth="1"/>
    <col min="15110" max="15110" width="14.140625" style="85" customWidth="1"/>
    <col min="15111" max="15361" width="8.85546875" style="85"/>
    <col min="15362" max="15362" width="4.140625" style="85" customWidth="1"/>
    <col min="15363" max="15363" width="7.28515625" style="85" customWidth="1"/>
    <col min="15364" max="15365" width="14" style="85" customWidth="1"/>
    <col min="15366" max="15366" width="14.140625" style="85" customWidth="1"/>
    <col min="15367" max="15617" width="8.85546875" style="85"/>
    <col min="15618" max="15618" width="4.140625" style="85" customWidth="1"/>
    <col min="15619" max="15619" width="7.28515625" style="85" customWidth="1"/>
    <col min="15620" max="15621" width="14" style="85" customWidth="1"/>
    <col min="15622" max="15622" width="14.140625" style="85" customWidth="1"/>
    <col min="15623" max="15873" width="8.85546875" style="85"/>
    <col min="15874" max="15874" width="4.140625" style="85" customWidth="1"/>
    <col min="15875" max="15875" width="7.28515625" style="85" customWidth="1"/>
    <col min="15876" max="15877" width="14" style="85" customWidth="1"/>
    <col min="15878" max="15878" width="14.140625" style="85" customWidth="1"/>
    <col min="15879" max="16129" width="8.85546875" style="85"/>
    <col min="16130" max="16130" width="4.140625" style="85" customWidth="1"/>
    <col min="16131" max="16131" width="7.28515625" style="85" customWidth="1"/>
    <col min="16132" max="16133" width="14" style="85" customWidth="1"/>
    <col min="16134" max="16134" width="14.140625" style="85" customWidth="1"/>
    <col min="16135" max="16384" width="8.85546875" style="85"/>
  </cols>
  <sheetData>
    <row r="1" spans="2:25" ht="18.75">
      <c r="B1" s="385" t="s">
        <v>396</v>
      </c>
    </row>
    <row r="2" spans="2:25" ht="15.75">
      <c r="B2" s="388" t="s">
        <v>122</v>
      </c>
      <c r="D2" s="389"/>
      <c r="E2" s="85"/>
      <c r="F2" s="85"/>
      <c r="G2" s="386"/>
      <c r="H2" s="386"/>
      <c r="I2" s="386"/>
      <c r="K2" s="387"/>
      <c r="L2" s="387"/>
      <c r="O2" s="386"/>
      <c r="P2" s="386"/>
      <c r="R2" s="386"/>
      <c r="T2" s="387"/>
      <c r="U2" s="387"/>
      <c r="X2" s="386"/>
      <c r="Y2" s="386"/>
    </row>
    <row r="3" spans="2:25">
      <c r="B3" s="390" t="s">
        <v>339</v>
      </c>
      <c r="D3" s="389"/>
      <c r="E3" s="85"/>
      <c r="F3" s="85"/>
      <c r="G3" s="386"/>
      <c r="H3" s="386"/>
      <c r="I3" s="386"/>
      <c r="K3" s="387"/>
      <c r="L3" s="387"/>
      <c r="O3" s="386"/>
      <c r="P3" s="386"/>
      <c r="R3" s="386"/>
      <c r="T3" s="387"/>
      <c r="U3" s="387"/>
      <c r="X3" s="386"/>
      <c r="Y3" s="386"/>
    </row>
    <row r="4" spans="2:25">
      <c r="B4" s="390" t="s">
        <v>340</v>
      </c>
      <c r="D4" s="389"/>
      <c r="E4" s="85"/>
      <c r="F4" s="85"/>
      <c r="G4" s="386"/>
      <c r="H4" s="386"/>
      <c r="I4" s="386"/>
      <c r="K4" s="387"/>
      <c r="L4" s="387"/>
      <c r="O4" s="386"/>
      <c r="P4" s="386"/>
      <c r="R4" s="386"/>
      <c r="T4" s="387"/>
      <c r="U4" s="387"/>
      <c r="X4" s="386"/>
      <c r="Y4" s="386"/>
    </row>
    <row r="5" spans="2:25">
      <c r="B5" s="390" t="s">
        <v>341</v>
      </c>
      <c r="D5" s="389"/>
      <c r="E5" s="85"/>
      <c r="F5" s="85"/>
      <c r="G5" s="386"/>
      <c r="H5" s="386"/>
      <c r="I5" s="386"/>
      <c r="K5" s="387"/>
      <c r="L5" s="387"/>
      <c r="O5" s="386"/>
      <c r="P5" s="386"/>
      <c r="R5" s="386"/>
      <c r="T5" s="387"/>
      <c r="U5" s="387"/>
      <c r="X5" s="386"/>
      <c r="Y5" s="386"/>
    </row>
    <row r="6" spans="2:25">
      <c r="B6" s="390" t="s">
        <v>342</v>
      </c>
      <c r="D6" s="389"/>
      <c r="E6" s="85"/>
      <c r="F6" s="85"/>
      <c r="G6" s="386"/>
      <c r="H6" s="386"/>
      <c r="I6" s="386"/>
      <c r="K6" s="387"/>
      <c r="L6" s="387"/>
      <c r="O6" s="386"/>
      <c r="P6" s="386"/>
      <c r="R6" s="386"/>
      <c r="T6" s="387"/>
      <c r="U6" s="387"/>
      <c r="X6" s="386"/>
      <c r="Y6" s="386"/>
    </row>
    <row r="8" spans="2:25" ht="15" customHeight="1">
      <c r="B8" s="391" t="s">
        <v>155</v>
      </c>
      <c r="C8" s="392"/>
      <c r="D8" s="392"/>
      <c r="E8" s="393"/>
      <c r="F8" s="393"/>
      <c r="H8" s="391" t="s">
        <v>183</v>
      </c>
      <c r="I8" s="152"/>
      <c r="J8" s="392"/>
      <c r="K8" s="394"/>
      <c r="L8" s="394"/>
      <c r="P8" s="391" t="s">
        <v>184</v>
      </c>
      <c r="Q8" s="152"/>
      <c r="R8" s="392"/>
      <c r="S8" s="394"/>
      <c r="T8" s="394"/>
    </row>
    <row r="9" spans="2:25" ht="34.5" customHeight="1">
      <c r="B9" s="395" t="s">
        <v>145</v>
      </c>
      <c r="C9" s="396" t="s">
        <v>146</v>
      </c>
      <c r="D9" s="397" t="s">
        <v>343</v>
      </c>
      <c r="E9" s="396" t="s">
        <v>147</v>
      </c>
      <c r="F9" s="398" t="s">
        <v>156</v>
      </c>
      <c r="H9" s="395" t="s">
        <v>145</v>
      </c>
      <c r="I9" s="399" t="s">
        <v>146</v>
      </c>
      <c r="J9" s="400" t="s">
        <v>344</v>
      </c>
      <c r="K9" s="399" t="s">
        <v>147</v>
      </c>
      <c r="L9" s="400" t="s">
        <v>156</v>
      </c>
      <c r="M9" s="401" t="s">
        <v>157</v>
      </c>
      <c r="P9" s="395" t="s">
        <v>145</v>
      </c>
      <c r="Q9" s="399" t="s">
        <v>146</v>
      </c>
      <c r="R9" s="397" t="s">
        <v>343</v>
      </c>
      <c r="S9" s="399" t="s">
        <v>147</v>
      </c>
      <c r="T9" s="400" t="s">
        <v>156</v>
      </c>
      <c r="U9" s="401" t="s">
        <v>157</v>
      </c>
    </row>
    <row r="10" spans="2:25" ht="16.5" customHeight="1">
      <c r="B10" s="402">
        <v>1</v>
      </c>
      <c r="C10" s="403">
        <v>0</v>
      </c>
      <c r="D10" s="404">
        <f>'B4-Capital Req.'!C11-('B2-Cider Apple Budget'!C32*F40)</f>
        <v>263089.68460018811</v>
      </c>
      <c r="E10" s="405">
        <f>C10-D10</f>
        <v>-263089.68460018811</v>
      </c>
      <c r="F10" s="406">
        <f t="shared" ref="F10:F34" si="0">E10/(1+$F$42)^B10</f>
        <v>-250561.60438113153</v>
      </c>
      <c r="H10" s="402">
        <f>B10</f>
        <v>1</v>
      </c>
      <c r="I10" s="403">
        <f>C10</f>
        <v>0</v>
      </c>
      <c r="J10" s="404">
        <f>('B2-Cider Apple Budget'!C34-'B2-Cider Apple Budget'!C32+'B2-Cider Apple Budget'!C48+'B2-Cider Apple Budget'!C49+'B2-Cider Apple Budget'!C50)*$M$40</f>
        <v>85160.841015992482</v>
      </c>
      <c r="K10" s="405">
        <f>I10-J10</f>
        <v>-85160.841015992482</v>
      </c>
      <c r="L10" s="405">
        <f t="shared" ref="L10:L34" si="1">K10/(1+$M$42)^H10</f>
        <v>-81105.56287237379</v>
      </c>
      <c r="M10" s="407">
        <f>L10</f>
        <v>-81105.56287237379</v>
      </c>
      <c r="P10" s="402">
        <f>B10</f>
        <v>1</v>
      </c>
      <c r="Q10" s="403">
        <f>C10</f>
        <v>0</v>
      </c>
      <c r="R10" s="404">
        <f>D10</f>
        <v>263089.68460018811</v>
      </c>
      <c r="S10" s="405">
        <f>Q10-R10</f>
        <v>-263089.68460018811</v>
      </c>
      <c r="T10" s="405">
        <f t="shared" ref="T10:T34" si="2">S10/(1+$U$42)^P10</f>
        <v>-250561.60438113153</v>
      </c>
      <c r="U10" s="407">
        <f>T10</f>
        <v>-250561.60438113153</v>
      </c>
    </row>
    <row r="11" spans="2:25">
      <c r="B11" s="402">
        <f>1+B10</f>
        <v>2</v>
      </c>
      <c r="C11" s="403">
        <v>0</v>
      </c>
      <c r="D11" s="403">
        <f>'B4-Capital Req.'!D11-('B2-Cider Apple Budget'!D32*F40)</f>
        <v>29650.554327375354</v>
      </c>
      <c r="E11" s="405">
        <f t="shared" ref="E11:E21" si="3">C11-D11</f>
        <v>-29650.554327375354</v>
      </c>
      <c r="F11" s="406">
        <f t="shared" si="0"/>
        <v>-26893.926827551339</v>
      </c>
      <c r="H11" s="402">
        <f t="shared" ref="H11:H34" si="4">B11</f>
        <v>2</v>
      </c>
      <c r="I11" s="403">
        <f>C11</f>
        <v>0</v>
      </c>
      <c r="J11" s="404">
        <f>('B2-Cider Apple Budget'!D34-'B2-Cider Apple Budget'!D32+'B2-Cider Apple Budget'!D48+'B2-Cider Apple Budget'!D49+'B2-Cider Apple Budget'!D50)*$M$40</f>
        <v>29985.089369708374</v>
      </c>
      <c r="K11" s="405">
        <f t="shared" ref="K11:K34" si="5">I11-J11</f>
        <v>-29985.089369708374</v>
      </c>
      <c r="L11" s="405">
        <f t="shared" si="1"/>
        <v>-27197.359972524602</v>
      </c>
      <c r="M11" s="407">
        <f>SUM(L$10:$L11)</f>
        <v>-108302.92284489839</v>
      </c>
      <c r="P11" s="402">
        <f t="shared" ref="P11:P34" si="6">B11</f>
        <v>2</v>
      </c>
      <c r="Q11" s="403">
        <f t="shared" ref="Q11:Q33" si="7">C11</f>
        <v>0</v>
      </c>
      <c r="R11" s="404">
        <f t="shared" ref="R11:R33" si="8">D11</f>
        <v>29650.554327375354</v>
      </c>
      <c r="S11" s="405">
        <f t="shared" ref="S11:S33" si="9">Q11-R11</f>
        <v>-29650.554327375354</v>
      </c>
      <c r="T11" s="405">
        <f t="shared" si="2"/>
        <v>-26893.926827551339</v>
      </c>
      <c r="U11" s="407">
        <f>SUM($T$10:T11)</f>
        <v>-277455.53120868286</v>
      </c>
    </row>
    <row r="12" spans="2:25">
      <c r="B12" s="402">
        <f t="shared" ref="B12:B34" si="10">1+B11</f>
        <v>3</v>
      </c>
      <c r="C12" s="403">
        <f>F36*F37*F40</f>
        <v>16368.749999999998</v>
      </c>
      <c r="D12" s="403">
        <f>'B4-Capital Req.'!E11-('B2-Cider Apple Budget'!E32*F40)</f>
        <v>39739.419915451537</v>
      </c>
      <c r="E12" s="405">
        <f t="shared" si="3"/>
        <v>-23370.669915451537</v>
      </c>
      <c r="F12" s="406">
        <f t="shared" si="0"/>
        <v>-20188.463375835468</v>
      </c>
      <c r="H12" s="402">
        <f t="shared" si="4"/>
        <v>3</v>
      </c>
      <c r="I12" s="403">
        <f>M36*M37*M40</f>
        <v>16368.749999999998</v>
      </c>
      <c r="J12" s="404">
        <f>('B2-Cider Apple Budget'!E34-'B2-Cider Apple Budget'!E32+'B2-Cider Apple Budget'!E48+'B2-Cider Apple Budget'!E49+'B2-Cider Apple Budget'!E50)*$M$40</f>
        <v>41257.564887111941</v>
      </c>
      <c r="K12" s="405">
        <f t="shared" si="5"/>
        <v>-24888.814887111941</v>
      </c>
      <c r="L12" s="405">
        <f t="shared" si="1"/>
        <v>-21499.894082377228</v>
      </c>
      <c r="M12" s="407">
        <f>SUM(L$10:$L12)</f>
        <v>-129802.81692727562</v>
      </c>
      <c r="P12" s="402">
        <f t="shared" si="6"/>
        <v>3</v>
      </c>
      <c r="Q12" s="403">
        <f t="shared" si="7"/>
        <v>16368.749999999998</v>
      </c>
      <c r="R12" s="404">
        <f t="shared" si="8"/>
        <v>39739.419915451537</v>
      </c>
      <c r="S12" s="405">
        <f t="shared" si="9"/>
        <v>-23370.669915451537</v>
      </c>
      <c r="T12" s="405">
        <f t="shared" si="2"/>
        <v>-20188.463375835468</v>
      </c>
      <c r="U12" s="407">
        <f>SUM($T$10:T12)</f>
        <v>-297643.99458451831</v>
      </c>
    </row>
    <row r="13" spans="2:25">
      <c r="B13" s="402">
        <f t="shared" si="10"/>
        <v>4</v>
      </c>
      <c r="C13" s="403">
        <f>F36*F38*F40</f>
        <v>39285</v>
      </c>
      <c r="D13" s="403">
        <f>'B4-Capital Req.'!F11-('B2-Cider Apple Budget'!F32*F40)</f>
        <v>50548.238145155206</v>
      </c>
      <c r="E13" s="405">
        <f t="shared" si="3"/>
        <v>-11263.238145155206</v>
      </c>
      <c r="F13" s="406">
        <f t="shared" si="0"/>
        <v>-9266.2938961895143</v>
      </c>
      <c r="H13" s="402">
        <f t="shared" si="4"/>
        <v>4</v>
      </c>
      <c r="I13" s="403">
        <f>M36*M38*M40</f>
        <v>39285</v>
      </c>
      <c r="J13" s="404">
        <f>('B2-Cider Apple Budget'!F34-'B2-Cider Apple Budget'!F32+'B2-Cider Apple Budget'!F48+'B2-Cider Apple Budget'!F49+'B2-Cider Apple Budget'!F50)*$M$40</f>
        <v>53334.456763875816</v>
      </c>
      <c r="K13" s="405">
        <f t="shared" si="5"/>
        <v>-14049.456763875816</v>
      </c>
      <c r="L13" s="405">
        <f t="shared" si="1"/>
        <v>-11558.522849122179</v>
      </c>
      <c r="M13" s="407">
        <f>SUM(L$10:$L13)</f>
        <v>-141361.3397763978</v>
      </c>
      <c r="P13" s="402">
        <f t="shared" si="6"/>
        <v>4</v>
      </c>
      <c r="Q13" s="403">
        <f t="shared" si="7"/>
        <v>39285</v>
      </c>
      <c r="R13" s="404">
        <f t="shared" si="8"/>
        <v>50548.238145155206</v>
      </c>
      <c r="S13" s="405">
        <f t="shared" si="9"/>
        <v>-11263.238145155206</v>
      </c>
      <c r="T13" s="405">
        <f t="shared" si="2"/>
        <v>-9266.2938961895143</v>
      </c>
      <c r="U13" s="407">
        <f>SUM($T$10:T13)</f>
        <v>-306910.28848070785</v>
      </c>
    </row>
    <row r="14" spans="2:25">
      <c r="B14" s="402">
        <f t="shared" si="10"/>
        <v>5</v>
      </c>
      <c r="C14" s="403">
        <f>F36*F39*F40</f>
        <v>150592.5</v>
      </c>
      <c r="D14" s="403">
        <f>'B4-Capital Req.'!G11-('B2-Cider Apple Budget'!G32*F40)</f>
        <v>71011.053355703189</v>
      </c>
      <c r="E14" s="405">
        <f t="shared" si="3"/>
        <v>79581.446644296811</v>
      </c>
      <c r="F14" s="406">
        <f t="shared" si="0"/>
        <v>62354.145811220085</v>
      </c>
      <c r="H14" s="402">
        <f t="shared" si="4"/>
        <v>5</v>
      </c>
      <c r="I14" s="403">
        <f>M36*M39*M40</f>
        <v>150592.5</v>
      </c>
      <c r="J14" s="404">
        <f>('B2-Cider Apple Budget'!G34-'B2-Cider Apple Budget'!G32+'B2-Cider Apple Budget'!G48+'B2-Cider Apple Budget'!G49+'B2-Cider Apple Budget'!G50)*M40</f>
        <v>76097.220667920963</v>
      </c>
      <c r="K14" s="405">
        <f t="shared" si="5"/>
        <v>74495.279332079037</v>
      </c>
      <c r="L14" s="405">
        <f t="shared" si="1"/>
        <v>58369.000635060911</v>
      </c>
      <c r="M14" s="407">
        <f>SUM(L$10:$L14)</f>
        <v>-82992.339141336881</v>
      </c>
      <c r="P14" s="402">
        <f t="shared" si="6"/>
        <v>5</v>
      </c>
      <c r="Q14" s="403">
        <f t="shared" si="7"/>
        <v>150592.5</v>
      </c>
      <c r="R14" s="404">
        <f t="shared" si="8"/>
        <v>71011.053355703189</v>
      </c>
      <c r="S14" s="405">
        <f t="shared" si="9"/>
        <v>79581.446644296811</v>
      </c>
      <c r="T14" s="405">
        <f t="shared" si="2"/>
        <v>62354.145811220085</v>
      </c>
      <c r="U14" s="407">
        <f>SUM($T$10:T14)</f>
        <v>-244556.14266948777</v>
      </c>
    </row>
    <row r="15" spans="2:25">
      <c r="B15" s="402">
        <f t="shared" si="10"/>
        <v>6</v>
      </c>
      <c r="C15" s="403">
        <f t="shared" ref="C15:C34" si="11">$C$14</f>
        <v>150592.5</v>
      </c>
      <c r="D15" s="403">
        <f t="shared" ref="D15:D34" si="12">$D$14</f>
        <v>71011.053355703189</v>
      </c>
      <c r="E15" s="405">
        <f t="shared" si="3"/>
        <v>79581.446644296811</v>
      </c>
      <c r="F15" s="406">
        <f t="shared" si="0"/>
        <v>59384.900772590569</v>
      </c>
      <c r="H15" s="402">
        <f t="shared" si="4"/>
        <v>6</v>
      </c>
      <c r="I15" s="403">
        <f t="shared" ref="I15:I34" si="13">$I$14</f>
        <v>150592.5</v>
      </c>
      <c r="J15" s="404">
        <f t="shared" ref="J15:J34" si="14">$J$14</f>
        <v>76097.220667920963</v>
      </c>
      <c r="K15" s="405">
        <f t="shared" si="5"/>
        <v>74495.279332079037</v>
      </c>
      <c r="L15" s="405">
        <f t="shared" si="1"/>
        <v>55589.52441434373</v>
      </c>
      <c r="M15" s="407">
        <f>SUM(L$10:$L15)</f>
        <v>-27402.814726993151</v>
      </c>
      <c r="P15" s="402">
        <f t="shared" si="6"/>
        <v>6</v>
      </c>
      <c r="Q15" s="403">
        <f t="shared" si="7"/>
        <v>150592.5</v>
      </c>
      <c r="R15" s="404">
        <f t="shared" si="8"/>
        <v>71011.053355703189</v>
      </c>
      <c r="S15" s="405">
        <f t="shared" si="9"/>
        <v>79581.446644296811</v>
      </c>
      <c r="T15" s="405">
        <f t="shared" si="2"/>
        <v>59384.900772590569</v>
      </c>
      <c r="U15" s="407">
        <f>SUM($T$10:T15)</f>
        <v>-185171.24189689721</v>
      </c>
    </row>
    <row r="16" spans="2:25">
      <c r="B16" s="402">
        <f t="shared" si="10"/>
        <v>7</v>
      </c>
      <c r="C16" s="403">
        <f t="shared" si="11"/>
        <v>150592.5</v>
      </c>
      <c r="D16" s="403">
        <f t="shared" si="12"/>
        <v>71011.053355703189</v>
      </c>
      <c r="E16" s="405">
        <f t="shared" si="3"/>
        <v>79581.446644296811</v>
      </c>
      <c r="F16" s="406">
        <f t="shared" si="0"/>
        <v>56557.04835484815</v>
      </c>
      <c r="H16" s="402">
        <f t="shared" si="4"/>
        <v>7</v>
      </c>
      <c r="I16" s="403">
        <f t="shared" si="13"/>
        <v>150592.5</v>
      </c>
      <c r="J16" s="404">
        <f t="shared" si="14"/>
        <v>76097.220667920963</v>
      </c>
      <c r="K16" s="405">
        <f t="shared" si="5"/>
        <v>74495.279332079037</v>
      </c>
      <c r="L16" s="405">
        <f t="shared" si="1"/>
        <v>52942.404204136874</v>
      </c>
      <c r="M16" s="407">
        <f>SUM(L$10:$L16)</f>
        <v>25539.589477143723</v>
      </c>
      <c r="P16" s="402">
        <f t="shared" si="6"/>
        <v>7</v>
      </c>
      <c r="Q16" s="403">
        <f t="shared" si="7"/>
        <v>150592.5</v>
      </c>
      <c r="R16" s="404">
        <f t="shared" si="8"/>
        <v>71011.053355703189</v>
      </c>
      <c r="S16" s="405">
        <f t="shared" si="9"/>
        <v>79581.446644296811</v>
      </c>
      <c r="T16" s="405">
        <f t="shared" si="2"/>
        <v>56557.04835484815</v>
      </c>
      <c r="U16" s="407">
        <f>SUM($T$10:T16)</f>
        <v>-128614.19354204906</v>
      </c>
    </row>
    <row r="17" spans="2:21">
      <c r="B17" s="402">
        <f t="shared" si="10"/>
        <v>8</v>
      </c>
      <c r="C17" s="403">
        <f t="shared" si="11"/>
        <v>150592.5</v>
      </c>
      <c r="D17" s="403">
        <f t="shared" si="12"/>
        <v>71011.053355703189</v>
      </c>
      <c r="E17" s="405">
        <f t="shared" si="3"/>
        <v>79581.446644296811</v>
      </c>
      <c r="F17" s="406">
        <f t="shared" si="0"/>
        <v>53863.855576045862</v>
      </c>
      <c r="H17" s="402">
        <f t="shared" si="4"/>
        <v>8</v>
      </c>
      <c r="I17" s="403">
        <f t="shared" si="13"/>
        <v>150592.5</v>
      </c>
      <c r="J17" s="404">
        <f t="shared" si="14"/>
        <v>76097.220667920963</v>
      </c>
      <c r="K17" s="405">
        <f t="shared" si="5"/>
        <v>74495.279332079037</v>
      </c>
      <c r="L17" s="405">
        <f t="shared" si="1"/>
        <v>50421.337337273224</v>
      </c>
      <c r="M17" s="407">
        <f>SUM(L$10:$L17)</f>
        <v>75960.926814416947</v>
      </c>
      <c r="P17" s="402">
        <f t="shared" si="6"/>
        <v>8</v>
      </c>
      <c r="Q17" s="403">
        <f t="shared" si="7"/>
        <v>150592.5</v>
      </c>
      <c r="R17" s="404">
        <f t="shared" si="8"/>
        <v>71011.053355703189</v>
      </c>
      <c r="S17" s="405">
        <f t="shared" si="9"/>
        <v>79581.446644296811</v>
      </c>
      <c r="T17" s="405">
        <f t="shared" si="2"/>
        <v>53863.855576045862</v>
      </c>
      <c r="U17" s="407">
        <f>SUM($T$10:T17)</f>
        <v>-74750.337966003193</v>
      </c>
    </row>
    <row r="18" spans="2:21">
      <c r="B18" s="402">
        <f t="shared" si="10"/>
        <v>9</v>
      </c>
      <c r="C18" s="403">
        <f t="shared" si="11"/>
        <v>150592.5</v>
      </c>
      <c r="D18" s="403">
        <f t="shared" si="12"/>
        <v>71011.053355703189</v>
      </c>
      <c r="E18" s="405">
        <f t="shared" si="3"/>
        <v>79581.446644296811</v>
      </c>
      <c r="F18" s="406">
        <f t="shared" si="0"/>
        <v>51298.910072424631</v>
      </c>
      <c r="H18" s="402">
        <f t="shared" si="4"/>
        <v>9</v>
      </c>
      <c r="I18" s="403">
        <f t="shared" si="13"/>
        <v>150592.5</v>
      </c>
      <c r="J18" s="404">
        <f t="shared" si="14"/>
        <v>76097.220667920963</v>
      </c>
      <c r="K18" s="405">
        <f t="shared" si="5"/>
        <v>74495.279332079037</v>
      </c>
      <c r="L18" s="405">
        <f t="shared" si="1"/>
        <v>48020.321273593538</v>
      </c>
      <c r="M18" s="407">
        <f>SUM(L$10:$L18)</f>
        <v>123981.24808801048</v>
      </c>
      <c r="P18" s="402">
        <f t="shared" si="6"/>
        <v>9</v>
      </c>
      <c r="Q18" s="403">
        <f t="shared" si="7"/>
        <v>150592.5</v>
      </c>
      <c r="R18" s="404">
        <f t="shared" si="8"/>
        <v>71011.053355703189</v>
      </c>
      <c r="S18" s="405">
        <f t="shared" si="9"/>
        <v>79581.446644296811</v>
      </c>
      <c r="T18" s="405">
        <f t="shared" si="2"/>
        <v>51298.910072424631</v>
      </c>
      <c r="U18" s="407">
        <f>SUM($T$10:T18)</f>
        <v>-23451.427893578562</v>
      </c>
    </row>
    <row r="19" spans="2:21">
      <c r="B19" s="402">
        <f t="shared" si="10"/>
        <v>10</v>
      </c>
      <c r="C19" s="403">
        <f t="shared" si="11"/>
        <v>150592.5</v>
      </c>
      <c r="D19" s="403">
        <f t="shared" si="12"/>
        <v>71011.053355703189</v>
      </c>
      <c r="E19" s="405">
        <f t="shared" si="3"/>
        <v>79581.446644296811</v>
      </c>
      <c r="F19" s="406">
        <f t="shared" si="0"/>
        <v>48856.104830880598</v>
      </c>
      <c r="H19" s="402">
        <f t="shared" si="4"/>
        <v>10</v>
      </c>
      <c r="I19" s="403">
        <f t="shared" si="13"/>
        <v>150592.5</v>
      </c>
      <c r="J19" s="404">
        <f t="shared" si="14"/>
        <v>76097.220667920963</v>
      </c>
      <c r="K19" s="405">
        <f t="shared" si="5"/>
        <v>74495.279332079037</v>
      </c>
      <c r="L19" s="405">
        <f t="shared" si="1"/>
        <v>45733.639308184327</v>
      </c>
      <c r="M19" s="407">
        <f>SUM(L$10:$L19)</f>
        <v>169714.8873961948</v>
      </c>
      <c r="P19" s="402">
        <f t="shared" si="6"/>
        <v>10</v>
      </c>
      <c r="Q19" s="403">
        <f t="shared" si="7"/>
        <v>150592.5</v>
      </c>
      <c r="R19" s="404">
        <f t="shared" si="8"/>
        <v>71011.053355703189</v>
      </c>
      <c r="S19" s="405">
        <f t="shared" si="9"/>
        <v>79581.446644296811</v>
      </c>
      <c r="T19" s="405">
        <f t="shared" si="2"/>
        <v>48856.104830880598</v>
      </c>
      <c r="U19" s="407">
        <f>SUM($T$10:T19)</f>
        <v>25404.676937302036</v>
      </c>
    </row>
    <row r="20" spans="2:21">
      <c r="B20" s="402">
        <f t="shared" si="10"/>
        <v>11</v>
      </c>
      <c r="C20" s="403">
        <f t="shared" si="11"/>
        <v>150592.5</v>
      </c>
      <c r="D20" s="403">
        <f t="shared" si="12"/>
        <v>71011.053355703189</v>
      </c>
      <c r="E20" s="405">
        <f t="shared" si="3"/>
        <v>79581.446644296811</v>
      </c>
      <c r="F20" s="406">
        <f t="shared" si="0"/>
        <v>46529.623648457709</v>
      </c>
      <c r="H20" s="402">
        <f t="shared" si="4"/>
        <v>11</v>
      </c>
      <c r="I20" s="403">
        <f t="shared" si="13"/>
        <v>150592.5</v>
      </c>
      <c r="J20" s="404">
        <f t="shared" si="14"/>
        <v>76097.220667920963</v>
      </c>
      <c r="K20" s="405">
        <f t="shared" si="5"/>
        <v>74495.279332079037</v>
      </c>
      <c r="L20" s="405">
        <f t="shared" si="1"/>
        <v>43555.846960175542</v>
      </c>
      <c r="M20" s="407">
        <f>SUM(L$10:$L20)</f>
        <v>213270.73435637035</v>
      </c>
      <c r="P20" s="402">
        <f t="shared" si="6"/>
        <v>11</v>
      </c>
      <c r="Q20" s="403">
        <f t="shared" si="7"/>
        <v>150592.5</v>
      </c>
      <c r="R20" s="404">
        <f t="shared" si="8"/>
        <v>71011.053355703189</v>
      </c>
      <c r="S20" s="405">
        <f t="shared" si="9"/>
        <v>79581.446644296811</v>
      </c>
      <c r="T20" s="405">
        <f t="shared" si="2"/>
        <v>46529.623648457709</v>
      </c>
      <c r="U20" s="407">
        <f>SUM($T$10:T20)</f>
        <v>71934.300585759745</v>
      </c>
    </row>
    <row r="21" spans="2:21">
      <c r="B21" s="402">
        <f t="shared" si="10"/>
        <v>12</v>
      </c>
      <c r="C21" s="403">
        <f t="shared" si="11"/>
        <v>150592.5</v>
      </c>
      <c r="D21" s="403">
        <f t="shared" si="12"/>
        <v>71011.053355703189</v>
      </c>
      <c r="E21" s="405">
        <f t="shared" si="3"/>
        <v>79581.446644296811</v>
      </c>
      <c r="F21" s="406">
        <f t="shared" si="0"/>
        <v>44313.927284245445</v>
      </c>
      <c r="H21" s="402">
        <f t="shared" si="4"/>
        <v>12</v>
      </c>
      <c r="I21" s="403">
        <f t="shared" si="13"/>
        <v>150592.5</v>
      </c>
      <c r="J21" s="404">
        <f t="shared" si="14"/>
        <v>76097.220667920963</v>
      </c>
      <c r="K21" s="405">
        <f t="shared" si="5"/>
        <v>74495.279332079037</v>
      </c>
      <c r="L21" s="405">
        <f t="shared" si="1"/>
        <v>41481.759009690999</v>
      </c>
      <c r="M21" s="407">
        <f>SUM(L$10:$L21)</f>
        <v>254752.49336606136</v>
      </c>
      <c r="P21" s="402">
        <f t="shared" si="6"/>
        <v>12</v>
      </c>
      <c r="Q21" s="403">
        <f t="shared" si="7"/>
        <v>150592.5</v>
      </c>
      <c r="R21" s="404">
        <f t="shared" si="8"/>
        <v>71011.053355703189</v>
      </c>
      <c r="S21" s="405">
        <f t="shared" si="9"/>
        <v>79581.446644296811</v>
      </c>
      <c r="T21" s="405">
        <f t="shared" si="2"/>
        <v>44313.927284245445</v>
      </c>
      <c r="U21" s="407">
        <f>SUM($T$10:T21)</f>
        <v>116248.22787000518</v>
      </c>
    </row>
    <row r="22" spans="2:21">
      <c r="B22" s="402">
        <f t="shared" si="10"/>
        <v>13</v>
      </c>
      <c r="C22" s="403">
        <f t="shared" si="11"/>
        <v>150592.5</v>
      </c>
      <c r="D22" s="403">
        <f t="shared" si="12"/>
        <v>71011.053355703189</v>
      </c>
      <c r="E22" s="405">
        <f t="shared" ref="E22:E33" si="15">C22-D22</f>
        <v>79581.446644296811</v>
      </c>
      <c r="F22" s="406">
        <f t="shared" si="0"/>
        <v>42203.740270709939</v>
      </c>
      <c r="H22" s="402">
        <f t="shared" si="4"/>
        <v>13</v>
      </c>
      <c r="I22" s="403">
        <f t="shared" si="13"/>
        <v>150592.5</v>
      </c>
      <c r="J22" s="404">
        <f t="shared" si="14"/>
        <v>76097.220667920963</v>
      </c>
      <c r="K22" s="405">
        <f t="shared" si="5"/>
        <v>74495.279332079037</v>
      </c>
      <c r="L22" s="405">
        <f t="shared" si="1"/>
        <v>39506.437152086663</v>
      </c>
      <c r="M22" s="407">
        <f>SUM(L$10:$L22)</f>
        <v>294258.930518148</v>
      </c>
      <c r="P22" s="402">
        <f t="shared" si="6"/>
        <v>13</v>
      </c>
      <c r="Q22" s="403">
        <f t="shared" si="7"/>
        <v>150592.5</v>
      </c>
      <c r="R22" s="404">
        <f t="shared" si="8"/>
        <v>71011.053355703189</v>
      </c>
      <c r="S22" s="405">
        <f t="shared" si="9"/>
        <v>79581.446644296811</v>
      </c>
      <c r="T22" s="405">
        <f t="shared" si="2"/>
        <v>42203.740270709939</v>
      </c>
      <c r="U22" s="407">
        <f>SUM($T$10:T22)</f>
        <v>158451.96814071512</v>
      </c>
    </row>
    <row r="23" spans="2:21">
      <c r="B23" s="402">
        <f t="shared" si="10"/>
        <v>14</v>
      </c>
      <c r="C23" s="403">
        <f t="shared" si="11"/>
        <v>150592.5</v>
      </c>
      <c r="D23" s="403">
        <f t="shared" si="12"/>
        <v>71011.053355703189</v>
      </c>
      <c r="E23" s="405">
        <f t="shared" si="15"/>
        <v>79581.446644296811</v>
      </c>
      <c r="F23" s="406">
        <f t="shared" si="0"/>
        <v>40194.038353057091</v>
      </c>
      <c r="H23" s="402">
        <f t="shared" si="4"/>
        <v>14</v>
      </c>
      <c r="I23" s="403">
        <f t="shared" si="13"/>
        <v>150592.5</v>
      </c>
      <c r="J23" s="404">
        <f t="shared" si="14"/>
        <v>76097.220667920963</v>
      </c>
      <c r="K23" s="405">
        <f t="shared" si="5"/>
        <v>74495.279332079037</v>
      </c>
      <c r="L23" s="405">
        <f t="shared" si="1"/>
        <v>37625.17824008254</v>
      </c>
      <c r="M23" s="407">
        <f>SUM(L$10:$L23)</f>
        <v>331884.10875823052</v>
      </c>
      <c r="P23" s="402">
        <f t="shared" si="6"/>
        <v>14</v>
      </c>
      <c r="Q23" s="403">
        <f t="shared" si="7"/>
        <v>150592.5</v>
      </c>
      <c r="R23" s="404">
        <f t="shared" si="8"/>
        <v>71011.053355703189</v>
      </c>
      <c r="S23" s="405">
        <f t="shared" si="9"/>
        <v>79581.446644296811</v>
      </c>
      <c r="T23" s="405">
        <f t="shared" si="2"/>
        <v>40194.038353057091</v>
      </c>
      <c r="U23" s="407">
        <f>SUM($T$10:T23)</f>
        <v>198646.00649377221</v>
      </c>
    </row>
    <row r="24" spans="2:21">
      <c r="B24" s="402">
        <f t="shared" si="10"/>
        <v>15</v>
      </c>
      <c r="C24" s="403">
        <f t="shared" si="11"/>
        <v>150592.5</v>
      </c>
      <c r="D24" s="403">
        <f t="shared" si="12"/>
        <v>71011.053355703189</v>
      </c>
      <c r="E24" s="405">
        <f t="shared" si="15"/>
        <v>79581.446644296811</v>
      </c>
      <c r="F24" s="406">
        <f t="shared" si="0"/>
        <v>38280.036526721029</v>
      </c>
      <c r="H24" s="402">
        <f t="shared" si="4"/>
        <v>15</v>
      </c>
      <c r="I24" s="403">
        <f t="shared" si="13"/>
        <v>150592.5</v>
      </c>
      <c r="J24" s="404">
        <f t="shared" si="14"/>
        <v>76097.220667920963</v>
      </c>
      <c r="K24" s="405">
        <f t="shared" si="5"/>
        <v>74495.279332079037</v>
      </c>
      <c r="L24" s="405">
        <f t="shared" si="1"/>
        <v>35833.503085792887</v>
      </c>
      <c r="M24" s="407">
        <f>SUM(L$10:$L24)</f>
        <v>367717.6118440234</v>
      </c>
      <c r="P24" s="402">
        <f t="shared" si="6"/>
        <v>15</v>
      </c>
      <c r="Q24" s="403">
        <f t="shared" si="7"/>
        <v>150592.5</v>
      </c>
      <c r="R24" s="404">
        <f t="shared" si="8"/>
        <v>71011.053355703189</v>
      </c>
      <c r="S24" s="405">
        <f t="shared" si="9"/>
        <v>79581.446644296811</v>
      </c>
      <c r="T24" s="405">
        <f t="shared" si="2"/>
        <v>38280.036526721029</v>
      </c>
      <c r="U24" s="407">
        <f>SUM($T$10:T24)</f>
        <v>236926.04302049323</v>
      </c>
    </row>
    <row r="25" spans="2:21">
      <c r="B25" s="402">
        <f t="shared" si="10"/>
        <v>16</v>
      </c>
      <c r="C25" s="403">
        <f t="shared" si="11"/>
        <v>150592.5</v>
      </c>
      <c r="D25" s="403">
        <f t="shared" si="12"/>
        <v>71011.053355703189</v>
      </c>
      <c r="E25" s="405">
        <f t="shared" si="15"/>
        <v>79581.446644296811</v>
      </c>
      <c r="F25" s="406">
        <f t="shared" si="0"/>
        <v>36457.177644496223</v>
      </c>
      <c r="H25" s="402">
        <f t="shared" si="4"/>
        <v>16</v>
      </c>
      <c r="I25" s="403">
        <f t="shared" si="13"/>
        <v>150592.5</v>
      </c>
      <c r="J25" s="404">
        <f t="shared" si="14"/>
        <v>76097.220667920963</v>
      </c>
      <c r="K25" s="405">
        <f t="shared" si="5"/>
        <v>74495.279332079037</v>
      </c>
      <c r="L25" s="405">
        <f t="shared" si="1"/>
        <v>34127.14579599323</v>
      </c>
      <c r="M25" s="407">
        <f>SUM(L$10:$L25)</f>
        <v>401844.75764001661</v>
      </c>
      <c r="P25" s="402">
        <f t="shared" si="6"/>
        <v>16</v>
      </c>
      <c r="Q25" s="403">
        <f t="shared" si="7"/>
        <v>150592.5</v>
      </c>
      <c r="R25" s="404">
        <f t="shared" si="8"/>
        <v>71011.053355703189</v>
      </c>
      <c r="S25" s="405">
        <f t="shared" si="9"/>
        <v>79581.446644296811</v>
      </c>
      <c r="T25" s="405">
        <f t="shared" si="2"/>
        <v>36457.177644496223</v>
      </c>
      <c r="U25" s="407">
        <f>SUM($T$10:T25)</f>
        <v>273383.22066498944</v>
      </c>
    </row>
    <row r="26" spans="2:21">
      <c r="B26" s="402">
        <f t="shared" si="10"/>
        <v>17</v>
      </c>
      <c r="C26" s="403">
        <f t="shared" si="11"/>
        <v>150592.5</v>
      </c>
      <c r="D26" s="403">
        <f t="shared" si="12"/>
        <v>71011.053355703189</v>
      </c>
      <c r="E26" s="405">
        <f t="shared" si="15"/>
        <v>79581.446644296811</v>
      </c>
      <c r="F26" s="406">
        <f t="shared" si="0"/>
        <v>34721.12156618687</v>
      </c>
      <c r="H26" s="402">
        <f t="shared" si="4"/>
        <v>17</v>
      </c>
      <c r="I26" s="403">
        <f t="shared" si="13"/>
        <v>150592.5</v>
      </c>
      <c r="J26" s="404">
        <f t="shared" si="14"/>
        <v>76097.220667920963</v>
      </c>
      <c r="K26" s="405">
        <f t="shared" si="5"/>
        <v>74495.279332079037</v>
      </c>
      <c r="L26" s="405">
        <f t="shared" si="1"/>
        <v>32502.04361523164</v>
      </c>
      <c r="M26" s="407">
        <f>SUM(L$10:$L26)</f>
        <v>434346.80125524825</v>
      </c>
      <c r="P26" s="402">
        <f t="shared" si="6"/>
        <v>17</v>
      </c>
      <c r="Q26" s="403">
        <f t="shared" si="7"/>
        <v>150592.5</v>
      </c>
      <c r="R26" s="404">
        <f t="shared" si="8"/>
        <v>71011.053355703189</v>
      </c>
      <c r="S26" s="405">
        <f t="shared" si="9"/>
        <v>79581.446644296811</v>
      </c>
      <c r="T26" s="405">
        <f t="shared" si="2"/>
        <v>34721.12156618687</v>
      </c>
      <c r="U26" s="407">
        <f>SUM($T$10:T26)</f>
        <v>308104.34223117633</v>
      </c>
    </row>
    <row r="27" spans="2:21">
      <c r="B27" s="402">
        <f t="shared" si="10"/>
        <v>18</v>
      </c>
      <c r="C27" s="403">
        <f t="shared" si="11"/>
        <v>150592.5</v>
      </c>
      <c r="D27" s="403">
        <f t="shared" si="12"/>
        <v>71011.053355703189</v>
      </c>
      <c r="E27" s="405">
        <f t="shared" si="15"/>
        <v>79581.446644296811</v>
      </c>
      <c r="F27" s="406">
        <f t="shared" si="0"/>
        <v>33067.734824939878</v>
      </c>
      <c r="H27" s="402">
        <f t="shared" si="4"/>
        <v>18</v>
      </c>
      <c r="I27" s="403">
        <f t="shared" si="13"/>
        <v>150592.5</v>
      </c>
      <c r="J27" s="404">
        <f t="shared" si="14"/>
        <v>76097.220667920963</v>
      </c>
      <c r="K27" s="405">
        <f t="shared" si="5"/>
        <v>74495.279332079037</v>
      </c>
      <c r="L27" s="405">
        <f t="shared" si="1"/>
        <v>30954.327252601564</v>
      </c>
      <c r="M27" s="407">
        <f>SUM(L$10:$L27)</f>
        <v>465301.12850784982</v>
      </c>
      <c r="P27" s="402">
        <f t="shared" si="6"/>
        <v>18</v>
      </c>
      <c r="Q27" s="403">
        <f t="shared" si="7"/>
        <v>150592.5</v>
      </c>
      <c r="R27" s="404">
        <f t="shared" si="8"/>
        <v>71011.053355703189</v>
      </c>
      <c r="S27" s="405">
        <f t="shared" si="9"/>
        <v>79581.446644296811</v>
      </c>
      <c r="T27" s="405">
        <f t="shared" si="2"/>
        <v>33067.734824939878</v>
      </c>
      <c r="U27" s="407">
        <f>SUM($T$10:T27)</f>
        <v>341172.07705611619</v>
      </c>
    </row>
    <row r="28" spans="2:21">
      <c r="B28" s="402">
        <f t="shared" si="10"/>
        <v>19</v>
      </c>
      <c r="C28" s="403">
        <f t="shared" si="11"/>
        <v>150592.5</v>
      </c>
      <c r="D28" s="403">
        <f t="shared" si="12"/>
        <v>71011.053355703189</v>
      </c>
      <c r="E28" s="405">
        <f t="shared" si="15"/>
        <v>79581.446644296811</v>
      </c>
      <c r="F28" s="406">
        <f t="shared" si="0"/>
        <v>31493.080785657028</v>
      </c>
      <c r="H28" s="402">
        <f t="shared" si="4"/>
        <v>19</v>
      </c>
      <c r="I28" s="403">
        <f t="shared" si="13"/>
        <v>150592.5</v>
      </c>
      <c r="J28" s="404">
        <f t="shared" si="14"/>
        <v>76097.220667920963</v>
      </c>
      <c r="K28" s="405">
        <f t="shared" si="5"/>
        <v>74495.279332079037</v>
      </c>
      <c r="L28" s="405">
        <f t="shared" si="1"/>
        <v>29480.311669144347</v>
      </c>
      <c r="M28" s="407">
        <f>SUM(L$10:$L28)</f>
        <v>494781.44017699419</v>
      </c>
      <c r="P28" s="402">
        <f t="shared" si="6"/>
        <v>19</v>
      </c>
      <c r="Q28" s="403">
        <f t="shared" si="7"/>
        <v>150592.5</v>
      </c>
      <c r="R28" s="404">
        <f t="shared" si="8"/>
        <v>71011.053355703189</v>
      </c>
      <c r="S28" s="405">
        <f t="shared" si="9"/>
        <v>79581.446644296811</v>
      </c>
      <c r="T28" s="405">
        <f t="shared" si="2"/>
        <v>31493.080785657028</v>
      </c>
      <c r="U28" s="407">
        <f>SUM($T$10:T28)</f>
        <v>372665.15784177324</v>
      </c>
    </row>
    <row r="29" spans="2:21">
      <c r="B29" s="402">
        <f t="shared" si="10"/>
        <v>20</v>
      </c>
      <c r="C29" s="403">
        <f t="shared" si="11"/>
        <v>150592.5</v>
      </c>
      <c r="D29" s="403">
        <f t="shared" si="12"/>
        <v>71011.053355703189</v>
      </c>
      <c r="E29" s="405">
        <f t="shared" si="15"/>
        <v>79581.446644296811</v>
      </c>
      <c r="F29" s="406">
        <f t="shared" si="0"/>
        <v>29993.410272054312</v>
      </c>
      <c r="H29" s="402">
        <f t="shared" si="4"/>
        <v>20</v>
      </c>
      <c r="I29" s="403">
        <f t="shared" si="13"/>
        <v>150592.5</v>
      </c>
      <c r="J29" s="404">
        <f t="shared" si="14"/>
        <v>76097.220667920963</v>
      </c>
      <c r="K29" s="405">
        <f t="shared" si="5"/>
        <v>74495.279332079037</v>
      </c>
      <c r="L29" s="405">
        <f t="shared" si="1"/>
        <v>28076.487303946997</v>
      </c>
      <c r="M29" s="407">
        <f>SUM(L$10:$L29)</f>
        <v>522857.92748094117</v>
      </c>
      <c r="P29" s="402">
        <f t="shared" si="6"/>
        <v>20</v>
      </c>
      <c r="Q29" s="403">
        <f t="shared" si="7"/>
        <v>150592.5</v>
      </c>
      <c r="R29" s="404">
        <f t="shared" si="8"/>
        <v>71011.053355703189</v>
      </c>
      <c r="S29" s="405">
        <f t="shared" si="9"/>
        <v>79581.446644296811</v>
      </c>
      <c r="T29" s="405">
        <f t="shared" si="2"/>
        <v>29993.410272054312</v>
      </c>
      <c r="U29" s="407">
        <f>SUM($T$10:T29)</f>
        <v>402658.56811382755</v>
      </c>
    </row>
    <row r="30" spans="2:21">
      <c r="B30" s="402">
        <f t="shared" si="10"/>
        <v>21</v>
      </c>
      <c r="C30" s="403">
        <f t="shared" si="11"/>
        <v>150592.5</v>
      </c>
      <c r="D30" s="403">
        <f t="shared" si="12"/>
        <v>71011.053355703189</v>
      </c>
      <c r="E30" s="405">
        <f t="shared" si="15"/>
        <v>79581.446644296811</v>
      </c>
      <c r="F30" s="406">
        <f t="shared" si="0"/>
        <v>28565.152640051729</v>
      </c>
      <c r="H30" s="402">
        <f t="shared" si="4"/>
        <v>21</v>
      </c>
      <c r="I30" s="403">
        <f t="shared" si="13"/>
        <v>150592.5</v>
      </c>
      <c r="J30" s="404">
        <f t="shared" si="14"/>
        <v>76097.220667920963</v>
      </c>
      <c r="K30" s="405">
        <f t="shared" si="5"/>
        <v>74495.279332079037</v>
      </c>
      <c r="L30" s="405">
        <f t="shared" si="1"/>
        <v>26739.51171804476</v>
      </c>
      <c r="M30" s="407">
        <f>SUM(L$10:$L30)</f>
        <v>549597.43919898593</v>
      </c>
      <c r="P30" s="402">
        <f t="shared" si="6"/>
        <v>21</v>
      </c>
      <c r="Q30" s="403">
        <f t="shared" si="7"/>
        <v>150592.5</v>
      </c>
      <c r="R30" s="404">
        <f t="shared" si="8"/>
        <v>71011.053355703189</v>
      </c>
      <c r="S30" s="405">
        <f t="shared" si="9"/>
        <v>79581.446644296811</v>
      </c>
      <c r="T30" s="405">
        <f t="shared" si="2"/>
        <v>28565.152640051729</v>
      </c>
      <c r="U30" s="407">
        <f>SUM($T$10:T30)</f>
        <v>431223.72075387929</v>
      </c>
    </row>
    <row r="31" spans="2:21">
      <c r="B31" s="402">
        <f t="shared" si="10"/>
        <v>22</v>
      </c>
      <c r="C31" s="403">
        <f t="shared" si="11"/>
        <v>150592.5</v>
      </c>
      <c r="D31" s="403">
        <f t="shared" si="12"/>
        <v>71011.053355703189</v>
      </c>
      <c r="E31" s="405">
        <f t="shared" si="15"/>
        <v>79581.446644296811</v>
      </c>
      <c r="F31" s="406">
        <f t="shared" si="0"/>
        <v>27204.907276239745</v>
      </c>
      <c r="H31" s="402">
        <f t="shared" si="4"/>
        <v>22</v>
      </c>
      <c r="I31" s="403">
        <f t="shared" si="13"/>
        <v>150592.5</v>
      </c>
      <c r="J31" s="404">
        <f t="shared" si="14"/>
        <v>76097.220667920963</v>
      </c>
      <c r="K31" s="405">
        <f t="shared" si="5"/>
        <v>74495.279332079037</v>
      </c>
      <c r="L31" s="405">
        <f t="shared" si="1"/>
        <v>25466.201636233105</v>
      </c>
      <c r="M31" s="407">
        <f>SUM(L$10:$L31)</f>
        <v>575063.64083521906</v>
      </c>
      <c r="P31" s="402">
        <f t="shared" si="6"/>
        <v>22</v>
      </c>
      <c r="Q31" s="403">
        <f t="shared" si="7"/>
        <v>150592.5</v>
      </c>
      <c r="R31" s="404">
        <f t="shared" si="8"/>
        <v>71011.053355703189</v>
      </c>
      <c r="S31" s="405">
        <f t="shared" si="9"/>
        <v>79581.446644296811</v>
      </c>
      <c r="T31" s="405">
        <f t="shared" si="2"/>
        <v>27204.907276239745</v>
      </c>
      <c r="U31" s="407">
        <f>SUM($T$10:T31)</f>
        <v>458428.62803011906</v>
      </c>
    </row>
    <row r="32" spans="2:21">
      <c r="B32" s="402">
        <f t="shared" si="10"/>
        <v>23</v>
      </c>
      <c r="C32" s="403">
        <f t="shared" si="11"/>
        <v>150592.5</v>
      </c>
      <c r="D32" s="403">
        <f t="shared" si="12"/>
        <v>71011.053355703189</v>
      </c>
      <c r="E32" s="405">
        <f t="shared" si="15"/>
        <v>79581.446644296811</v>
      </c>
      <c r="F32" s="406">
        <f t="shared" si="0"/>
        <v>25909.435501180702</v>
      </c>
      <c r="H32" s="402">
        <f t="shared" si="4"/>
        <v>23</v>
      </c>
      <c r="I32" s="403">
        <f t="shared" si="13"/>
        <v>150592.5</v>
      </c>
      <c r="J32" s="404">
        <f t="shared" si="14"/>
        <v>76097.220667920963</v>
      </c>
      <c r="K32" s="405">
        <f t="shared" si="5"/>
        <v>74495.279332079037</v>
      </c>
      <c r="L32" s="405">
        <f t="shared" si="1"/>
        <v>24253.525367841048</v>
      </c>
      <c r="M32" s="407">
        <f>SUM(L$10:$L32)</f>
        <v>599317.16620306007</v>
      </c>
      <c r="P32" s="402">
        <f t="shared" si="6"/>
        <v>23</v>
      </c>
      <c r="Q32" s="403">
        <f t="shared" si="7"/>
        <v>150592.5</v>
      </c>
      <c r="R32" s="404">
        <f t="shared" si="8"/>
        <v>71011.053355703189</v>
      </c>
      <c r="S32" s="405">
        <f t="shared" si="9"/>
        <v>79581.446644296811</v>
      </c>
      <c r="T32" s="405">
        <f t="shared" si="2"/>
        <v>25909.435501180702</v>
      </c>
      <c r="U32" s="407">
        <f>SUM($T$10:T32)</f>
        <v>484338.06353129976</v>
      </c>
    </row>
    <row r="33" spans="2:21">
      <c r="B33" s="402">
        <f t="shared" si="10"/>
        <v>24</v>
      </c>
      <c r="C33" s="403">
        <f t="shared" si="11"/>
        <v>150592.5</v>
      </c>
      <c r="D33" s="403">
        <f t="shared" si="12"/>
        <v>71011.053355703189</v>
      </c>
      <c r="E33" s="405">
        <f t="shared" si="15"/>
        <v>79581.446644296811</v>
      </c>
      <c r="F33" s="406">
        <f t="shared" si="0"/>
        <v>24675.652858267338</v>
      </c>
      <c r="H33" s="402">
        <f t="shared" si="4"/>
        <v>24</v>
      </c>
      <c r="I33" s="403">
        <f t="shared" si="13"/>
        <v>150592.5</v>
      </c>
      <c r="J33" s="404">
        <f t="shared" si="14"/>
        <v>76097.220667920963</v>
      </c>
      <c r="K33" s="405">
        <f t="shared" si="5"/>
        <v>74495.279332079037</v>
      </c>
      <c r="L33" s="405">
        <f t="shared" si="1"/>
        <v>23098.595588420048</v>
      </c>
      <c r="M33" s="407">
        <f>SUM(L$10:$L33)</f>
        <v>622415.76179148012</v>
      </c>
      <c r="P33" s="402">
        <f t="shared" si="6"/>
        <v>24</v>
      </c>
      <c r="Q33" s="403">
        <f t="shared" si="7"/>
        <v>150592.5</v>
      </c>
      <c r="R33" s="404">
        <f t="shared" si="8"/>
        <v>71011.053355703189</v>
      </c>
      <c r="S33" s="405">
        <f t="shared" si="9"/>
        <v>79581.446644296811</v>
      </c>
      <c r="T33" s="405">
        <f t="shared" si="2"/>
        <v>24675.652858267338</v>
      </c>
      <c r="U33" s="407">
        <f>SUM($T$10:T33)</f>
        <v>509013.71638956713</v>
      </c>
    </row>
    <row r="34" spans="2:21">
      <c r="B34" s="402">
        <f t="shared" si="10"/>
        <v>25</v>
      </c>
      <c r="C34" s="403">
        <f t="shared" si="11"/>
        <v>150592.5</v>
      </c>
      <c r="D34" s="403">
        <f t="shared" si="12"/>
        <v>71011.053355703189</v>
      </c>
      <c r="E34" s="405">
        <f t="shared" ref="E34" si="16">C34-D34</f>
        <v>79581.446644296811</v>
      </c>
      <c r="F34" s="406">
        <f t="shared" si="0"/>
        <v>23500.621769778416</v>
      </c>
      <c r="H34" s="402">
        <f t="shared" si="4"/>
        <v>25</v>
      </c>
      <c r="I34" s="403">
        <f t="shared" si="13"/>
        <v>150592.5</v>
      </c>
      <c r="J34" s="404">
        <f t="shared" si="14"/>
        <v>76097.220667920963</v>
      </c>
      <c r="K34" s="405">
        <f t="shared" si="5"/>
        <v>74495.279332079037</v>
      </c>
      <c r="L34" s="405">
        <f t="shared" si="1"/>
        <v>21998.662465161953</v>
      </c>
      <c r="M34" s="407">
        <f>SUM(L$10:$L34)</f>
        <v>644414.42425664212</v>
      </c>
      <c r="P34" s="402">
        <f t="shared" si="6"/>
        <v>25</v>
      </c>
      <c r="Q34" s="403">
        <f t="shared" ref="Q34" si="17">C34</f>
        <v>150592.5</v>
      </c>
      <c r="R34" s="404">
        <f t="shared" ref="R34" si="18">D34</f>
        <v>71011.053355703189</v>
      </c>
      <c r="S34" s="405">
        <f t="shared" ref="S34" si="19">Q34-R34</f>
        <v>79581.446644296811</v>
      </c>
      <c r="T34" s="405">
        <f t="shared" si="2"/>
        <v>23500.621769778416</v>
      </c>
      <c r="U34" s="407">
        <f>SUM($T$10:T34)</f>
        <v>532514.33815934556</v>
      </c>
    </row>
    <row r="35" spans="2:21">
      <c r="B35" s="402"/>
      <c r="C35" s="152"/>
      <c r="D35" s="152"/>
      <c r="E35" s="394"/>
      <c r="F35" s="408"/>
      <c r="H35" s="402"/>
      <c r="I35" s="152"/>
      <c r="J35" s="152"/>
      <c r="K35" s="394"/>
      <c r="L35" s="394"/>
      <c r="M35" s="409"/>
      <c r="P35" s="402"/>
      <c r="Q35" s="152"/>
      <c r="R35" s="152"/>
      <c r="S35" s="394"/>
      <c r="T35" s="394"/>
      <c r="U35" s="409"/>
    </row>
    <row r="36" spans="2:21" s="423" customFormat="1">
      <c r="B36" s="421"/>
      <c r="C36" s="422"/>
      <c r="E36" s="424" t="s">
        <v>148</v>
      </c>
      <c r="F36" s="425">
        <f>'B13-Data for tables'!G3</f>
        <v>337.5</v>
      </c>
      <c r="H36" s="421"/>
      <c r="I36" s="422"/>
      <c r="J36" s="422"/>
      <c r="L36" s="424" t="s">
        <v>148</v>
      </c>
      <c r="M36" s="425">
        <f>F36</f>
        <v>337.5</v>
      </c>
      <c r="P36" s="421"/>
      <c r="Q36" s="422"/>
      <c r="R36" s="422"/>
      <c r="T36" s="424" t="s">
        <v>148</v>
      </c>
      <c r="U36" s="425">
        <f>F36</f>
        <v>337.5</v>
      </c>
    </row>
    <row r="37" spans="2:21" s="423" customFormat="1">
      <c r="B37" s="421"/>
      <c r="C37" s="422"/>
      <c r="E37" s="424" t="s">
        <v>149</v>
      </c>
      <c r="F37" s="426">
        <f>'B13-Data for tables'!E4*'B13-Data for tables'!E39</f>
        <v>4.8499999999999996</v>
      </c>
      <c r="H37" s="421"/>
      <c r="I37" s="422"/>
      <c r="J37" s="422"/>
      <c r="L37" s="424" t="s">
        <v>149</v>
      </c>
      <c r="M37" s="426">
        <f>F37</f>
        <v>4.8499999999999996</v>
      </c>
      <c r="P37" s="421"/>
      <c r="Q37" s="422"/>
      <c r="R37" s="422"/>
      <c r="T37" s="424" t="s">
        <v>149</v>
      </c>
      <c r="U37" s="426">
        <f>F37</f>
        <v>4.8499999999999996</v>
      </c>
    </row>
    <row r="38" spans="2:21" s="423" customFormat="1">
      <c r="B38" s="421"/>
      <c r="C38" s="422"/>
      <c r="E38" s="424" t="s">
        <v>150</v>
      </c>
      <c r="F38" s="426">
        <f>'B13-Data for tables'!F4*'B13-Data for tables'!F39</f>
        <v>11.64</v>
      </c>
      <c r="H38" s="421"/>
      <c r="I38" s="422"/>
      <c r="J38" s="422"/>
      <c r="L38" s="424" t="s">
        <v>150</v>
      </c>
      <c r="M38" s="426">
        <f>F38</f>
        <v>11.64</v>
      </c>
      <c r="P38" s="421"/>
      <c r="Q38" s="422"/>
      <c r="R38" s="422"/>
      <c r="T38" s="424" t="s">
        <v>150</v>
      </c>
      <c r="U38" s="426">
        <f>F38</f>
        <v>11.64</v>
      </c>
    </row>
    <row r="39" spans="2:21" s="423" customFormat="1">
      <c r="B39" s="421"/>
      <c r="C39" s="422"/>
      <c r="E39" s="424" t="s">
        <v>151</v>
      </c>
      <c r="F39" s="426">
        <f>'B13-Data for tables'!G4*'B13-Data for tables'!G39</f>
        <v>44.62</v>
      </c>
      <c r="H39" s="421"/>
      <c r="I39" s="422"/>
      <c r="J39" s="422"/>
      <c r="L39" s="424" t="s">
        <v>151</v>
      </c>
      <c r="M39" s="426">
        <f>F39</f>
        <v>44.62</v>
      </c>
      <c r="P39" s="421"/>
      <c r="Q39" s="422"/>
      <c r="R39" s="422"/>
      <c r="T39" s="424" t="s">
        <v>151</v>
      </c>
      <c r="U39" s="426">
        <f>F39</f>
        <v>44.62</v>
      </c>
    </row>
    <row r="40" spans="2:21" s="423" customFormat="1">
      <c r="B40" s="421"/>
      <c r="C40" s="422"/>
      <c r="E40" s="424" t="s">
        <v>152</v>
      </c>
      <c r="F40" s="426">
        <f>'B13-Data for tables'!G51</f>
        <v>10</v>
      </c>
      <c r="H40" s="421"/>
      <c r="I40" s="422"/>
      <c r="J40" s="422"/>
      <c r="L40" s="424" t="s">
        <v>152</v>
      </c>
      <c r="M40" s="426">
        <f>F40</f>
        <v>10</v>
      </c>
      <c r="P40" s="421"/>
      <c r="Q40" s="422"/>
      <c r="R40" s="422"/>
      <c r="T40" s="424" t="s">
        <v>152</v>
      </c>
      <c r="U40" s="426">
        <f>F40</f>
        <v>10</v>
      </c>
    </row>
    <row r="41" spans="2:21" s="423" customFormat="1">
      <c r="B41" s="421"/>
      <c r="C41" s="422"/>
      <c r="E41" s="427" t="s">
        <v>153</v>
      </c>
      <c r="F41" s="428">
        <f>SUM(F10:F34)</f>
        <v>532514.33815934556</v>
      </c>
      <c r="H41" s="421"/>
      <c r="I41" s="422"/>
      <c r="J41" s="422"/>
      <c r="L41" s="427" t="s">
        <v>158</v>
      </c>
      <c r="M41" s="429">
        <f>H19+(-M19/L20)</f>
        <v>6.1035107972674627</v>
      </c>
      <c r="P41" s="421"/>
      <c r="Q41" s="422"/>
      <c r="R41" s="422"/>
      <c r="T41" s="427" t="s">
        <v>158</v>
      </c>
      <c r="U41" s="429">
        <f>P25+(-U25/T26)</f>
        <v>8.1263136577009831</v>
      </c>
    </row>
    <row r="42" spans="2:21" s="423" customFormat="1">
      <c r="B42" s="430"/>
      <c r="C42" s="431"/>
      <c r="D42" s="431"/>
      <c r="E42" s="432" t="s">
        <v>154</v>
      </c>
      <c r="F42" s="433">
        <v>0.05</v>
      </c>
      <c r="H42" s="430"/>
      <c r="I42" s="431"/>
      <c r="J42" s="431"/>
      <c r="K42" s="431"/>
      <c r="L42" s="432" t="s">
        <v>154</v>
      </c>
      <c r="M42" s="433">
        <f>$F$42</f>
        <v>0.05</v>
      </c>
      <c r="P42" s="430"/>
      <c r="Q42" s="431"/>
      <c r="R42" s="431"/>
      <c r="S42" s="431"/>
      <c r="T42" s="432" t="s">
        <v>154</v>
      </c>
      <c r="U42" s="433">
        <f>$F$42</f>
        <v>0.05</v>
      </c>
    </row>
    <row r="43" spans="2:21">
      <c r="E43" s="410"/>
      <c r="F43" s="410"/>
      <c r="K43" s="410"/>
      <c r="L43" s="410"/>
      <c r="S43" s="410"/>
      <c r="T43" s="410"/>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K71"/>
  <sheetViews>
    <sheetView workbookViewId="0">
      <selection activeCell="B32" sqref="B32"/>
    </sheetView>
  </sheetViews>
  <sheetFormatPr defaultColWidth="9.140625" defaultRowHeight="15"/>
  <cols>
    <col min="1" max="1" width="5.140625" style="40" customWidth="1"/>
    <col min="2" max="2" width="39.140625" style="42" customWidth="1"/>
    <col min="3" max="3" width="15" style="42" customWidth="1"/>
    <col min="4" max="4" width="13.42578125" style="42" customWidth="1"/>
    <col min="5" max="6" width="14" style="42" customWidth="1"/>
    <col min="7" max="7" width="17.140625" style="42" customWidth="1"/>
    <col min="8" max="8" width="3.42578125" style="42" customWidth="1"/>
    <col min="9" max="9" width="13.85546875" style="42" customWidth="1"/>
    <col min="10" max="16384" width="9.140625" style="42"/>
  </cols>
  <sheetData>
    <row r="1" spans="1:11">
      <c r="B1" s="68"/>
    </row>
    <row r="2" spans="1:11" s="39" customFormat="1" ht="39.75" customHeight="1">
      <c r="A2" s="38"/>
      <c r="B2" s="470" t="s">
        <v>383</v>
      </c>
      <c r="C2" s="470"/>
      <c r="D2" s="470"/>
      <c r="E2" s="470"/>
      <c r="F2" s="470"/>
      <c r="G2" s="470"/>
      <c r="H2" s="470"/>
      <c r="I2" s="470"/>
      <c r="J2" s="80"/>
    </row>
    <row r="3" spans="1:11" ht="17.25">
      <c r="B3" s="46"/>
      <c r="C3" s="471" t="s">
        <v>0</v>
      </c>
      <c r="D3" s="471"/>
      <c r="E3" s="471"/>
      <c r="F3" s="471"/>
      <c r="G3" s="418" t="s">
        <v>159</v>
      </c>
      <c r="H3" s="50"/>
      <c r="I3" s="50"/>
      <c r="J3" s="77"/>
    </row>
    <row r="4" spans="1:11">
      <c r="B4" s="56"/>
      <c r="C4" s="419" t="s">
        <v>1</v>
      </c>
      <c r="D4" s="419" t="s">
        <v>2</v>
      </c>
      <c r="E4" s="419" t="s">
        <v>3</v>
      </c>
      <c r="F4" s="419" t="s">
        <v>4</v>
      </c>
      <c r="G4" s="419"/>
      <c r="H4" s="50"/>
      <c r="I4" s="420" t="s">
        <v>52</v>
      </c>
      <c r="J4" s="77"/>
    </row>
    <row r="5" spans="1:11" ht="18">
      <c r="B5" s="434" t="s">
        <v>193</v>
      </c>
      <c r="C5" s="435"/>
      <c r="D5" s="435"/>
      <c r="E5" s="436">
        <f>'B13-Data for tables'!E$4*'B13-Data for tables'!$E$39</f>
        <v>4.8499999999999996</v>
      </c>
      <c r="F5" s="436">
        <f>'B13-Data for tables'!F$4*'B13-Data for tables'!$F$39</f>
        <v>11.64</v>
      </c>
      <c r="G5" s="436">
        <f>'B13-Data for tables'!G$4*'B13-Data for tables'!$G$39</f>
        <v>44.62</v>
      </c>
      <c r="H5" s="41"/>
      <c r="I5" s="251"/>
      <c r="J5" s="82"/>
    </row>
    <row r="6" spans="1:11">
      <c r="B6" s="41" t="s">
        <v>188</v>
      </c>
      <c r="C6" s="58"/>
      <c r="D6" s="58"/>
      <c r="E6" s="59">
        <f>'B13-Data for tables'!$E$3</f>
        <v>337.5</v>
      </c>
      <c r="F6" s="59">
        <f>'B13-Data for tables'!$F$3</f>
        <v>337.5</v>
      </c>
      <c r="G6" s="59">
        <f>'B13-Data for tables'!$G$3</f>
        <v>337.5</v>
      </c>
      <c r="H6" s="41"/>
      <c r="I6" s="252"/>
      <c r="J6" s="60"/>
    </row>
    <row r="7" spans="1:11">
      <c r="B7" s="41"/>
      <c r="C7" s="43"/>
      <c r="D7" s="43"/>
      <c r="E7" s="43"/>
      <c r="F7" s="44"/>
      <c r="G7" s="44"/>
      <c r="H7" s="41"/>
      <c r="I7" s="66"/>
      <c r="J7" s="77"/>
    </row>
    <row r="8" spans="1:11">
      <c r="B8" s="46" t="s">
        <v>182</v>
      </c>
      <c r="C8" s="47"/>
      <c r="D8" s="47"/>
      <c r="E8" s="48">
        <f>E5*E6</f>
        <v>1636.8749999999998</v>
      </c>
      <c r="F8" s="48">
        <f>F5*F6</f>
        <v>3928.5</v>
      </c>
      <c r="G8" s="48">
        <f>G5*G6</f>
        <v>15059.25</v>
      </c>
      <c r="H8" s="41"/>
      <c r="I8" s="87"/>
      <c r="J8" s="77"/>
    </row>
    <row r="9" spans="1:11">
      <c r="B9" s="46"/>
      <c r="C9" s="49"/>
      <c r="D9" s="49"/>
      <c r="E9" s="49"/>
      <c r="F9" s="45"/>
      <c r="G9" s="45"/>
      <c r="H9" s="41"/>
      <c r="I9" s="66"/>
      <c r="J9" s="84"/>
    </row>
    <row r="10" spans="1:11">
      <c r="B10" s="50" t="s">
        <v>41</v>
      </c>
      <c r="C10" s="43"/>
      <c r="D10" s="43"/>
      <c r="E10" s="43"/>
      <c r="F10" s="43"/>
      <c r="G10" s="43"/>
      <c r="H10" s="41"/>
      <c r="I10" s="253"/>
    </row>
    <row r="11" spans="1:11">
      <c r="B11" s="51" t="s">
        <v>8</v>
      </c>
      <c r="C11" s="41"/>
      <c r="D11" s="41"/>
      <c r="E11" s="41"/>
      <c r="F11" s="41"/>
      <c r="G11" s="41"/>
      <c r="H11" s="41"/>
      <c r="I11" s="151"/>
    </row>
    <row r="12" spans="1:11">
      <c r="B12" s="52" t="s">
        <v>40</v>
      </c>
      <c r="C12" s="44">
        <f>'B9-Estab Costs'!$G$7</f>
        <v>517.40357478833494</v>
      </c>
      <c r="D12" s="44"/>
      <c r="E12" s="44"/>
      <c r="F12" s="44"/>
      <c r="G12" s="44"/>
      <c r="H12" s="41"/>
      <c r="I12" s="252"/>
      <c r="K12" s="68"/>
    </row>
    <row r="13" spans="1:11">
      <c r="B13" s="52" t="s">
        <v>72</v>
      </c>
      <c r="C13" s="44">
        <f>'B9-Estab Costs'!$G$11</f>
        <v>5421.4374412041388</v>
      </c>
      <c r="D13" s="44"/>
      <c r="E13" s="44"/>
      <c r="F13" s="44"/>
      <c r="G13" s="44"/>
      <c r="H13" s="41"/>
      <c r="I13" s="252"/>
    </row>
    <row r="14" spans="1:11">
      <c r="B14" s="51" t="s">
        <v>11</v>
      </c>
      <c r="C14" s="44"/>
      <c r="D14" s="44"/>
      <c r="E14" s="44"/>
      <c r="F14" s="44"/>
      <c r="G14" s="44"/>
      <c r="H14" s="41"/>
      <c r="I14" s="151"/>
    </row>
    <row r="15" spans="1:11">
      <c r="B15" s="52" t="s">
        <v>349</v>
      </c>
      <c r="C15" s="53">
        <f>'B9-Estab Costs'!$G$21</f>
        <v>298.02445907808089</v>
      </c>
      <c r="D15" s="53">
        <f>'B9-Estab Costs'!$G$38</f>
        <v>745.06114769520218</v>
      </c>
      <c r="E15" s="53">
        <f>'B9-Estab Costs'!$G$55</f>
        <v>1117.5917215428033</v>
      </c>
      <c r="F15" s="53">
        <f>'B9-Estab Costs'!$G$76</f>
        <v>1490.1222953904044</v>
      </c>
      <c r="G15" s="53">
        <f>'B10-Full Prod Costs'!$G$4</f>
        <v>1303.8570084666039</v>
      </c>
      <c r="H15" s="41"/>
      <c r="I15" s="252"/>
    </row>
    <row r="16" spans="1:11">
      <c r="B16" s="52" t="s">
        <v>350</v>
      </c>
      <c r="C16" s="53">
        <f>'B9-Estab Costs'!G22</f>
        <v>0</v>
      </c>
      <c r="D16" s="53">
        <f>'B9-Estab Costs'!G39</f>
        <v>149.01222953904045</v>
      </c>
      <c r="E16" s="53">
        <f>'B9-Estab Costs'!$G$56</f>
        <v>298.02445907808089</v>
      </c>
      <c r="F16" s="53">
        <f>'B9-Estab Costs'!$G$77</f>
        <v>596.04891815616179</v>
      </c>
      <c r="G16" s="53">
        <f>'B10-Full Prod Costs'!$G$5</f>
        <v>596.04891815616179</v>
      </c>
      <c r="H16" s="41"/>
      <c r="I16" s="252"/>
    </row>
    <row r="17" spans="1:11">
      <c r="A17" s="42"/>
      <c r="B17" s="52" t="s">
        <v>351</v>
      </c>
      <c r="C17" s="44">
        <f>'B9-Estab Costs'!$G$29</f>
        <v>496.70743179680147</v>
      </c>
      <c r="D17" s="44">
        <f>'B9-Estab Costs'!$G$46</f>
        <v>496.70743179680147</v>
      </c>
      <c r="E17" s="44">
        <f>'B9-Estab Costs'!$G$64</f>
        <v>496.70743179680147</v>
      </c>
      <c r="F17" s="44">
        <f>'B9-Estab Costs'!$G$85</f>
        <v>496.70743179680147</v>
      </c>
      <c r="G17" s="44">
        <f>'B10-Full Prod Costs'!$G$13</f>
        <v>496.70743179680147</v>
      </c>
      <c r="H17" s="41"/>
      <c r="I17" s="252"/>
    </row>
    <row r="18" spans="1:11" ht="18">
      <c r="B18" s="52" t="s">
        <v>352</v>
      </c>
      <c r="C18" s="53">
        <f>'B9-Estab Costs'!$G$23</f>
        <v>362.18250235183439</v>
      </c>
      <c r="D18" s="53">
        <f>'B9-Estab Costs'!$G$40</f>
        <v>362.18250235183439</v>
      </c>
      <c r="E18" s="53">
        <f>'B9-Estab Costs'!$G$57</f>
        <v>362.18250235183439</v>
      </c>
      <c r="F18" s="53">
        <f>'B9-Estab Costs'!$G$78</f>
        <v>362.18250235183439</v>
      </c>
      <c r="G18" s="53">
        <f>'B10-Full Prod Costs'!$G$6</f>
        <v>362.18250235183439</v>
      </c>
      <c r="H18" s="41"/>
      <c r="I18" s="252"/>
    </row>
    <row r="19" spans="1:11" ht="18">
      <c r="B19" s="52" t="s">
        <v>353</v>
      </c>
      <c r="C19" s="53">
        <f>'B9-Estab Costs'!$G$25</f>
        <v>0</v>
      </c>
      <c r="D19" s="53">
        <f>'B9-Estab Costs'!$G$42</f>
        <v>62.088428974600184</v>
      </c>
      <c r="E19" s="53">
        <f>'B9-Estab Costs'!$G$59</f>
        <v>62.088428974600184</v>
      </c>
      <c r="F19" s="53">
        <f>'B9-Estab Costs'!$G$80</f>
        <v>62.088428974600184</v>
      </c>
      <c r="G19" s="53">
        <f>'B10-Full Prod Costs'!$G$8</f>
        <v>256.63217309501408</v>
      </c>
      <c r="H19" s="41"/>
      <c r="I19" s="252"/>
    </row>
    <row r="20" spans="1:11" ht="18">
      <c r="B20" s="52" t="s">
        <v>354</v>
      </c>
      <c r="C20" s="53">
        <f>'B9-Estab Costs'!$G$24</f>
        <v>124.17685794920037</v>
      </c>
      <c r="D20" s="53">
        <f>'B9-Estab Costs'!$G$41</f>
        <v>124.17685794920037</v>
      </c>
      <c r="E20" s="53">
        <f>'B9-Estab Costs'!$G$58</f>
        <v>124.17685794920037</v>
      </c>
      <c r="F20" s="53">
        <f>'B9-Estab Costs'!$G$79</f>
        <v>124.17685794920037</v>
      </c>
      <c r="G20" s="53">
        <f>'B10-Full Prod Costs'!$G$7</f>
        <v>124.17685794920037</v>
      </c>
      <c r="H20" s="41"/>
      <c r="I20" s="302"/>
    </row>
    <row r="21" spans="1:11">
      <c r="A21" s="42"/>
      <c r="B21" s="52" t="s">
        <v>12</v>
      </c>
      <c r="C21" s="44"/>
      <c r="D21" s="44"/>
      <c r="E21" s="44">
        <f>'B9-Estab Costs'!$G$60</f>
        <v>51.740357478833488</v>
      </c>
      <c r="F21" s="44">
        <f>'B9-Estab Costs'!$G$81</f>
        <v>51.740357478833488</v>
      </c>
      <c r="G21" s="44">
        <f>'B10-Full Prod Costs'!$G$9</f>
        <v>51.740357478833488</v>
      </c>
      <c r="H21" s="41"/>
      <c r="I21" s="252"/>
    </row>
    <row r="22" spans="1:11" ht="18">
      <c r="A22" s="42"/>
      <c r="B22" s="52" t="s">
        <v>176</v>
      </c>
      <c r="C22" s="44">
        <f>'B9-Estab Costs'!$G$26</f>
        <v>186.26528692380055</v>
      </c>
      <c r="D22" s="44">
        <f>'B9-Estab Costs'!$G$43</f>
        <v>186.26528692380055</v>
      </c>
      <c r="E22" s="44">
        <f>'B9-Estab Costs'!$G$61</f>
        <v>186.26528692380055</v>
      </c>
      <c r="F22" s="44">
        <f>'B9-Estab Costs'!$G$82</f>
        <v>186.26528692380055</v>
      </c>
      <c r="G22" s="44">
        <f>'B10-Full Prod Costs'!$G$10</f>
        <v>186.26528692380055</v>
      </c>
      <c r="H22" s="41"/>
      <c r="I22" s="252"/>
    </row>
    <row r="23" spans="1:11">
      <c r="A23" s="42"/>
      <c r="B23" s="52" t="s">
        <v>138</v>
      </c>
      <c r="C23" s="44">
        <f>'B9-Estab Costs'!$G$27+'B9-Estab Costs'!$G$28</f>
        <v>149.01222953904045</v>
      </c>
      <c r="D23" s="44">
        <f>'B9-Estab Costs'!$G$44+'B9-Estab Costs'!$G$45</f>
        <v>149.01222953904045</v>
      </c>
      <c r="E23" s="44">
        <f>'B9-Estab Costs'!$G$62+'B9-Estab Costs'!$G$63</f>
        <v>149.01222953904045</v>
      </c>
      <c r="F23" s="44">
        <f>'B9-Estab Costs'!$G$83+'B9-Estab Costs'!$G$84</f>
        <v>149.01222953904045</v>
      </c>
      <c r="G23" s="44">
        <f>'B10-Full Prod Costs'!$G$11+'B10-Full Prod Costs'!$G$12</f>
        <v>149.01222953904045</v>
      </c>
      <c r="H23" s="41"/>
      <c r="I23" s="252"/>
    </row>
    <row r="24" spans="1:11" ht="18">
      <c r="A24" s="42"/>
      <c r="B24" s="51" t="s">
        <v>355</v>
      </c>
      <c r="C24" s="44"/>
      <c r="D24" s="44"/>
      <c r="E24" s="44"/>
      <c r="F24" s="44"/>
      <c r="G24" s="44"/>
      <c r="H24" s="41"/>
      <c r="I24" s="282"/>
    </row>
    <row r="25" spans="1:11">
      <c r="A25" s="42"/>
      <c r="B25" s="437" t="s">
        <v>205</v>
      </c>
      <c r="C25" s="438"/>
      <c r="D25" s="438"/>
      <c r="E25" s="438">
        <f>'B9-Estab Costs'!$G$72</f>
        <v>313.0234713076199</v>
      </c>
      <c r="F25" s="438">
        <f>'B9-Estab Costs'!$G$93</f>
        <v>751.25633113828781</v>
      </c>
      <c r="G25" s="438">
        <f>'B10-Full Prod Costs'!$G$21</f>
        <v>2879.8159360301029</v>
      </c>
      <c r="H25" s="41"/>
      <c r="I25" s="252"/>
    </row>
    <row r="26" spans="1:11">
      <c r="A26" s="42"/>
      <c r="B26" s="437" t="s">
        <v>206</v>
      </c>
      <c r="C26" s="438"/>
      <c r="D26" s="438"/>
      <c r="E26" s="438">
        <f>'B9-Estab Costs'!$E$73</f>
        <v>120</v>
      </c>
      <c r="F26" s="438">
        <f>'B9-Estab Costs'!$E$94</f>
        <v>120</v>
      </c>
      <c r="G26" s="438">
        <f>'B10-Full Prod Costs'!$E$22</f>
        <v>120</v>
      </c>
      <c r="H26" s="41"/>
      <c r="I26" s="252"/>
    </row>
    <row r="27" spans="1:11" ht="15" customHeight="1">
      <c r="A27" s="42"/>
      <c r="B27" s="51" t="s">
        <v>17</v>
      </c>
      <c r="C27" s="44"/>
      <c r="D27" s="44"/>
      <c r="E27" s="44"/>
      <c r="F27" s="44"/>
      <c r="G27" s="44"/>
      <c r="H27" s="41"/>
      <c r="I27" s="151"/>
    </row>
    <row r="28" spans="1:11" ht="15" customHeight="1">
      <c r="A28" s="42"/>
      <c r="B28" s="52" t="s">
        <v>134</v>
      </c>
      <c r="C28" s="44">
        <f>'B9-Estab Costs'!$G$30</f>
        <v>103.48071495766698</v>
      </c>
      <c r="D28" s="44">
        <f>'B9-Estab Costs'!$G$47</f>
        <v>129.35089369708373</v>
      </c>
      <c r="E28" s="44">
        <f>'B9-Estab Costs'!$G$65</f>
        <v>155.22107243650046</v>
      </c>
      <c r="F28" s="44">
        <f>'B9-Estab Costs'!$G$86</f>
        <v>175.91721542803384</v>
      </c>
      <c r="G28" s="44">
        <f>'B10-Full Prod Costs'!$G$14</f>
        <v>196.61335841956725</v>
      </c>
      <c r="H28" s="41"/>
      <c r="I28" s="252"/>
    </row>
    <row r="29" spans="1:11" ht="15" customHeight="1">
      <c r="A29" s="42"/>
      <c r="B29" s="52" t="s">
        <v>68</v>
      </c>
      <c r="C29" s="44">
        <f>'B9-Estab Costs'!$G$31</f>
        <v>72.43650047036688</v>
      </c>
      <c r="D29" s="44">
        <f>'B9-Estab Costs'!$G$48</f>
        <v>72.43650047036688</v>
      </c>
      <c r="E29" s="44">
        <f>'B9-Estab Costs'!$G$66</f>
        <v>113.82878645343368</v>
      </c>
      <c r="F29" s="44">
        <f>'B9-Estab Costs'!$G$87</f>
        <v>134.52492944496706</v>
      </c>
      <c r="G29" s="44">
        <f>'B10-Full Prod Costs'!$G$15</f>
        <v>144.87300094073376</v>
      </c>
      <c r="H29" s="41"/>
      <c r="I29" s="252"/>
    </row>
    <row r="30" spans="1:11">
      <c r="A30" s="42"/>
      <c r="B30" s="51" t="s">
        <v>21</v>
      </c>
      <c r="C30" s="44"/>
      <c r="D30" s="44"/>
      <c r="E30" s="44"/>
      <c r="F30" s="44"/>
      <c r="G30" s="44"/>
      <c r="H30" s="41"/>
      <c r="I30" s="151"/>
    </row>
    <row r="31" spans="1:11" ht="18">
      <c r="A31" s="42"/>
      <c r="B31" s="437" t="s">
        <v>356</v>
      </c>
      <c r="C31" s="438">
        <f>SUM(C10:C30)*'B13-Data for tables'!$C$46</f>
        <v>386.55634995296327</v>
      </c>
      <c r="D31" s="438">
        <f>SUM(D10:D30)*'B13-Data for tables'!$C$46</f>
        <v>123.81467544684857</v>
      </c>
      <c r="E31" s="438">
        <f>SUM(E10:E30)*'B13-Data for tables'!$C$46</f>
        <v>177.49313029162747</v>
      </c>
      <c r="F31" s="438">
        <f>SUM(F10:F30)*'B13-Data for tables'!$C$46</f>
        <v>235.00213922859831</v>
      </c>
      <c r="G31" s="438">
        <f>SUM(G10:G30)*'B13-Data for tables'!$C$46</f>
        <v>343.39625305738474</v>
      </c>
      <c r="H31" s="41"/>
      <c r="I31" s="252"/>
    </row>
    <row r="32" spans="1:11" ht="18">
      <c r="A32" s="42"/>
      <c r="B32" s="437" t="s">
        <v>357</v>
      </c>
      <c r="C32" s="438">
        <f>SUM(C10:C31)*'B13-Data for tables'!$C$47*'B13-Data for tables'!$C$49</f>
        <v>405.88416745061147</v>
      </c>
      <c r="D32" s="438">
        <f>SUM(D10:D31)*'B13-Data for tables'!$D$47*'B13-Data for tables'!$D$49</f>
        <v>130.00540921919099</v>
      </c>
      <c r="E32" s="438">
        <f>SUM(E10:E31)*'B13-Data for tables'!$E$47*'B13-Data for tables'!$E$49</f>
        <v>186.36778680620884</v>
      </c>
      <c r="F32" s="438">
        <f>SUM(F10:F31)*'B13-Data for tables'!$F$47*'B13-Data for tables'!$F$49</f>
        <v>246.75224619002822</v>
      </c>
      <c r="G32" s="438">
        <f>SUM(G10:G31)*'B13-Data for tables'!$G$47*'B13-Data for tables'!$G$49</f>
        <v>270.42454928269046</v>
      </c>
      <c r="H32" s="41"/>
      <c r="I32" s="252"/>
      <c r="K32" s="68"/>
    </row>
    <row r="33" spans="1:9">
      <c r="A33" s="42"/>
      <c r="B33" s="52"/>
      <c r="C33" s="44"/>
      <c r="D33" s="44"/>
      <c r="E33" s="44"/>
      <c r="F33" s="44"/>
      <c r="G33" s="44"/>
      <c r="H33" s="41"/>
      <c r="I33" s="254"/>
    </row>
    <row r="34" spans="1:9">
      <c r="A34" s="42"/>
      <c r="B34" s="439" t="s">
        <v>24</v>
      </c>
      <c r="C34" s="440">
        <f>SUM(C10:C32)</f>
        <v>8523.567516462841</v>
      </c>
      <c r="D34" s="440">
        <f>SUM(D10:D32)</f>
        <v>2730.1135936030105</v>
      </c>
      <c r="E34" s="440">
        <f>SUM(E10:E32)</f>
        <v>3913.7235229303851</v>
      </c>
      <c r="F34" s="440">
        <f>SUM(F10:F32)</f>
        <v>5181.797169990592</v>
      </c>
      <c r="G34" s="440">
        <f>SUM(G10:G32)</f>
        <v>7481.7458634877694</v>
      </c>
      <c r="H34" s="41"/>
      <c r="I34" s="255"/>
    </row>
    <row r="35" spans="1:9">
      <c r="A35" s="42"/>
      <c r="B35" s="46"/>
      <c r="C35" s="49"/>
      <c r="D35" s="49"/>
      <c r="E35" s="49"/>
      <c r="F35" s="45"/>
      <c r="G35" s="54"/>
      <c r="H35" s="41"/>
      <c r="I35" s="256"/>
    </row>
    <row r="36" spans="1:9">
      <c r="A36" s="42"/>
      <c r="B36" s="50" t="s">
        <v>42</v>
      </c>
      <c r="C36" s="41"/>
      <c r="D36" s="41"/>
      <c r="E36" s="41"/>
      <c r="F36" s="41"/>
      <c r="G36" s="44"/>
      <c r="H36" s="41"/>
      <c r="I36" s="64"/>
    </row>
    <row r="37" spans="1:9">
      <c r="A37" s="42"/>
      <c r="B37" s="55" t="s">
        <v>9</v>
      </c>
      <c r="C37" s="44"/>
      <c r="D37" s="44"/>
      <c r="E37" s="44"/>
      <c r="F37" s="44"/>
      <c r="G37" s="44"/>
      <c r="H37" s="41"/>
      <c r="I37" s="64"/>
    </row>
    <row r="38" spans="1:9">
      <c r="A38" s="42"/>
      <c r="B38" s="52" t="s">
        <v>6</v>
      </c>
      <c r="C38" s="44">
        <f>'B6&amp;B7-Int. Costs &amp; Depr.'!$G$18</f>
        <v>103.48071495766698</v>
      </c>
      <c r="D38" s="44">
        <f>'B6&amp;B7-Int. Costs &amp; Depr.'!$G$18</f>
        <v>103.48071495766698</v>
      </c>
      <c r="E38" s="44">
        <f>'B6&amp;B7-Int. Costs &amp; Depr.'!$G$18</f>
        <v>103.48071495766698</v>
      </c>
      <c r="F38" s="44">
        <f>'B6&amp;B7-Int. Costs &amp; Depr.'!$G$18</f>
        <v>103.48071495766698</v>
      </c>
      <c r="G38" s="44">
        <f>'B6&amp;B7-Int. Costs &amp; Depr.'!$G$18</f>
        <v>103.48071495766698</v>
      </c>
      <c r="H38" s="41"/>
      <c r="I38" s="252"/>
    </row>
    <row r="39" spans="1:9">
      <c r="A39" s="42"/>
      <c r="B39" s="240" t="s">
        <v>124</v>
      </c>
      <c r="C39" s="45">
        <f>'B6&amp;B7-Int. Costs &amp; Depr.'!$G$20</f>
        <v>539.76</v>
      </c>
      <c r="D39" s="45">
        <f>'B6&amp;B7-Int. Costs &amp; Depr.'!$G$20</f>
        <v>539.76</v>
      </c>
      <c r="E39" s="45">
        <f>'B6&amp;B7-Int. Costs &amp; Depr.'!$G$20</f>
        <v>539.76</v>
      </c>
      <c r="F39" s="45">
        <f>'B6&amp;B7-Int. Costs &amp; Depr.'!$G$20</f>
        <v>539.76</v>
      </c>
      <c r="G39" s="45">
        <f>'B6&amp;B7-Int. Costs &amp; Depr.'!$G$20</f>
        <v>539.76</v>
      </c>
      <c r="H39" s="41"/>
      <c r="I39" s="252"/>
    </row>
    <row r="40" spans="1:9">
      <c r="A40" s="42"/>
      <c r="B40" s="52" t="s">
        <v>10</v>
      </c>
      <c r="C40" s="44">
        <f>'B6&amp;B7-Int. Costs &amp; Depr.'!$G$19</f>
        <v>93.665362182502335</v>
      </c>
      <c r="D40" s="44">
        <f>'B6&amp;B7-Int. Costs &amp; Depr.'!$G$19</f>
        <v>93.665362182502335</v>
      </c>
      <c r="E40" s="44">
        <f>'B6&amp;B7-Int. Costs &amp; Depr.'!$G$19</f>
        <v>93.665362182502335</v>
      </c>
      <c r="F40" s="44">
        <f>'B6&amp;B7-Int. Costs &amp; Depr.'!$G$19</f>
        <v>93.665362182502335</v>
      </c>
      <c r="G40" s="44">
        <f>'B6&amp;B7-Int. Costs &amp; Depr.'!$G$19</f>
        <v>93.665362182502335</v>
      </c>
      <c r="H40" s="41"/>
      <c r="I40" s="252"/>
    </row>
    <row r="41" spans="1:9">
      <c r="A41" s="42"/>
      <c r="B41" s="51" t="s">
        <v>13</v>
      </c>
      <c r="C41" s="44"/>
      <c r="D41" s="44"/>
      <c r="E41" s="44"/>
      <c r="F41" s="44"/>
      <c r="G41" s="44"/>
      <c r="H41" s="41"/>
      <c r="I41" s="64"/>
    </row>
    <row r="42" spans="1:9">
      <c r="A42" s="42"/>
      <c r="B42" s="52" t="s">
        <v>6</v>
      </c>
      <c r="C42" s="44">
        <f>'B6&amp;B7-Int. Costs &amp; Depr.'!$G$4</f>
        <v>64.675446848541867</v>
      </c>
      <c r="D42" s="44">
        <f>'B6&amp;B7-Int. Costs &amp; Depr.'!$G$4</f>
        <v>64.675446848541867</v>
      </c>
      <c r="E42" s="44">
        <f>'B6&amp;B7-Int. Costs &amp; Depr.'!$G$4</f>
        <v>64.675446848541867</v>
      </c>
      <c r="F42" s="44">
        <f>'B6&amp;B7-Int. Costs &amp; Depr.'!$G$4</f>
        <v>64.675446848541867</v>
      </c>
      <c r="G42" s="44">
        <f>'B6&amp;B7-Int. Costs &amp; Depr.'!$G$4</f>
        <v>64.675446848541867</v>
      </c>
      <c r="H42" s="41"/>
      <c r="I42" s="252"/>
    </row>
    <row r="43" spans="1:9" ht="18">
      <c r="A43" s="42"/>
      <c r="B43" s="52" t="s">
        <v>358</v>
      </c>
      <c r="C43" s="44">
        <f>'B6&amp;B7-Int. Costs &amp; Depr.'!$G$5</f>
        <v>698.49482596425219</v>
      </c>
      <c r="D43" s="44">
        <f>'B6&amp;B7-Int. Costs &amp; Depr.'!$G$5</f>
        <v>698.49482596425219</v>
      </c>
      <c r="E43" s="44">
        <f>'B6&amp;B7-Int. Costs &amp; Depr.'!$G$5</f>
        <v>698.49482596425219</v>
      </c>
      <c r="F43" s="44">
        <f>'B6&amp;B7-Int. Costs &amp; Depr.'!$G$5</f>
        <v>698.49482596425219</v>
      </c>
      <c r="G43" s="44">
        <f>'B6&amp;B7-Int. Costs &amp; Depr.'!$G$5</f>
        <v>698.49482596425219</v>
      </c>
      <c r="H43" s="41"/>
      <c r="I43" s="252"/>
    </row>
    <row r="44" spans="1:9">
      <c r="A44" s="42"/>
      <c r="B44" s="240" t="s">
        <v>124</v>
      </c>
      <c r="C44" s="44">
        <f>'B6&amp;B7-Int. Costs &amp; Depr.'!$G$6</f>
        <v>432.35</v>
      </c>
      <c r="D44" s="44">
        <f>'B6&amp;B7-Int. Costs &amp; Depr.'!$G$6</f>
        <v>432.35</v>
      </c>
      <c r="E44" s="44">
        <f>'B6&amp;B7-Int. Costs &amp; Depr.'!$G$6</f>
        <v>432.35</v>
      </c>
      <c r="F44" s="44">
        <f>'B6&amp;B7-Int. Costs &amp; Depr.'!$G$6</f>
        <v>432.35</v>
      </c>
      <c r="G44" s="44">
        <f>'B6&amp;B7-Int. Costs &amp; Depr.'!$G$6</f>
        <v>432.35</v>
      </c>
      <c r="H44" s="41"/>
      <c r="I44" s="252"/>
    </row>
    <row r="45" spans="1:9">
      <c r="A45" s="42"/>
      <c r="B45" s="52" t="s">
        <v>10</v>
      </c>
      <c r="C45" s="44">
        <f>'B6&amp;B7-Int. Costs &amp; Depr.'!$G$7</f>
        <v>58.540851364063961</v>
      </c>
      <c r="D45" s="44">
        <f>'B6&amp;B7-Int. Costs &amp; Depr.'!$G$7</f>
        <v>58.540851364063961</v>
      </c>
      <c r="E45" s="44">
        <f>'B6&amp;B7-Int. Costs &amp; Depr.'!$G$7</f>
        <v>58.540851364063961</v>
      </c>
      <c r="F45" s="44">
        <f>'B6&amp;B7-Int. Costs &amp; Depr.'!$G$7</f>
        <v>58.540851364063961</v>
      </c>
      <c r="G45" s="44">
        <f>'B6&amp;B7-Int. Costs &amp; Depr.'!$G$7</f>
        <v>58.540851364063961</v>
      </c>
      <c r="H45" s="41"/>
      <c r="I45" s="252"/>
    </row>
    <row r="46" spans="1:9">
      <c r="A46" s="42"/>
      <c r="B46" s="52" t="s">
        <v>73</v>
      </c>
      <c r="C46" s="44"/>
      <c r="D46" s="44">
        <f>C60*'B13-Data for tables'!$C$48</f>
        <v>561.16888076199427</v>
      </c>
      <c r="E46" s="44">
        <f>D60*'B13-Data for tables'!$D$48</f>
        <v>860.7235094190969</v>
      </c>
      <c r="F46" s="44">
        <f>E60*'B13-Data for tables'!$E$48</f>
        <v>1152.5926159754233</v>
      </c>
      <c r="G46" s="44"/>
      <c r="H46" s="41"/>
      <c r="I46" s="252"/>
    </row>
    <row r="47" spans="1:9">
      <c r="A47" s="42"/>
      <c r="B47" s="51" t="s">
        <v>16</v>
      </c>
      <c r="C47" s="44"/>
      <c r="D47" s="44"/>
      <c r="E47" s="44"/>
      <c r="F47" s="44"/>
      <c r="G47" s="44"/>
      <c r="H47" s="41"/>
      <c r="I47" s="64"/>
    </row>
    <row r="48" spans="1:9">
      <c r="A48" s="42"/>
      <c r="B48" s="52" t="s">
        <v>116</v>
      </c>
      <c r="C48" s="44">
        <f>'B9-Estab Costs'!$G$32</f>
        <v>206.96142991533395</v>
      </c>
      <c r="D48" s="44">
        <f>'B9-Estab Costs'!$G$49</f>
        <v>206.96142991533395</v>
      </c>
      <c r="E48" s="44">
        <f>'B9-Estab Costs'!$G$67</f>
        <v>206.96142991533395</v>
      </c>
      <c r="F48" s="44">
        <f>'B9-Estab Costs'!$G$88</f>
        <v>206.96142991533395</v>
      </c>
      <c r="G48" s="44">
        <f>'B10-Full Prod Costs'!$G$16</f>
        <v>206.96142991533395</v>
      </c>
      <c r="H48" s="41"/>
      <c r="I48" s="252"/>
    </row>
    <row r="49" spans="1:9">
      <c r="A49" s="42"/>
      <c r="B49" s="52" t="s">
        <v>62</v>
      </c>
      <c r="C49" s="44">
        <f>'B9-Estab Costs'!G33</f>
        <v>139.69896519285041</v>
      </c>
      <c r="D49" s="44">
        <f>'B9-Estab Costs'!$G$50</f>
        <v>139.69896519285041</v>
      </c>
      <c r="E49" s="44">
        <f>'B9-Estab Costs'!$G$68</f>
        <v>139.69896519285041</v>
      </c>
      <c r="F49" s="44">
        <f>'B9-Estab Costs'!$G$89</f>
        <v>139.69896519285041</v>
      </c>
      <c r="G49" s="44">
        <f>'B10-Full Prod Costs'!$G$17</f>
        <v>139.69896519285041</v>
      </c>
      <c r="H49" s="41"/>
      <c r="I49" s="252"/>
    </row>
    <row r="50" spans="1:9">
      <c r="A50" s="42"/>
      <c r="B50" s="52" t="s">
        <v>18</v>
      </c>
      <c r="C50" s="44">
        <f>'B9-Estab Costs'!G34</f>
        <v>51.740357478833488</v>
      </c>
      <c r="D50" s="44">
        <f>'B9-Estab Costs'!$G$51</f>
        <v>51.740357478833488</v>
      </c>
      <c r="E50" s="44">
        <f>'B9-Estab Costs'!$G$69</f>
        <v>51.740357478833488</v>
      </c>
      <c r="F50" s="44">
        <f>'B9-Estab Costs'!$G$90</f>
        <v>51.740357478833488</v>
      </c>
      <c r="G50" s="44">
        <f>'B10-Full Prod Costs'!$G$18</f>
        <v>51.740357478833488</v>
      </c>
      <c r="H50" s="41"/>
      <c r="I50" s="252"/>
    </row>
    <row r="51" spans="1:9">
      <c r="A51" s="42"/>
      <c r="B51" s="52" t="s">
        <v>19</v>
      </c>
      <c r="C51" s="44">
        <f>'B9-Estab Costs'!G35</f>
        <v>310.44214487300093</v>
      </c>
      <c r="D51" s="44">
        <f>'B9-Estab Costs'!$G$52</f>
        <v>310.44214487300093</v>
      </c>
      <c r="E51" s="44">
        <f>'B9-Estab Costs'!$G$70</f>
        <v>310.44214487300093</v>
      </c>
      <c r="F51" s="44">
        <f>'B9-Estab Costs'!$G$91</f>
        <v>310.44214487300093</v>
      </c>
      <c r="G51" s="44">
        <f>'B10-Full Prod Costs'!$G$19</f>
        <v>310.44214487300093</v>
      </c>
      <c r="H51" s="41"/>
      <c r="I51" s="252"/>
    </row>
    <row r="52" spans="1:9" ht="18">
      <c r="A52" s="42"/>
      <c r="B52" s="437" t="s">
        <v>359</v>
      </c>
      <c r="C52" s="434"/>
      <c r="D52" s="434"/>
      <c r="E52" s="434"/>
      <c r="F52" s="434"/>
      <c r="G52" s="438">
        <f>'B12-Amort Calc'!C7</f>
        <v>2196.1794580670494</v>
      </c>
      <c r="H52" s="41"/>
      <c r="I52" s="252"/>
    </row>
    <row r="53" spans="1:9">
      <c r="A53" s="42"/>
      <c r="B53" s="52"/>
      <c r="C53" s="41"/>
      <c r="D53" s="41"/>
      <c r="E53" s="41"/>
      <c r="F53" s="41"/>
      <c r="G53" s="44"/>
      <c r="H53" s="41"/>
      <c r="I53" s="64"/>
    </row>
    <row r="54" spans="1:9">
      <c r="A54" s="42"/>
      <c r="B54" s="441" t="s">
        <v>20</v>
      </c>
      <c r="C54" s="438">
        <f>SUM(C38:C52)</f>
        <v>2699.8100987770458</v>
      </c>
      <c r="D54" s="438">
        <f>SUM(D38:D52)</f>
        <v>3260.9789795390402</v>
      </c>
      <c r="E54" s="438">
        <f>SUM(E38:E52)</f>
        <v>3560.5336081961427</v>
      </c>
      <c r="F54" s="438">
        <f>SUM(F38:F52)</f>
        <v>3852.4027147524694</v>
      </c>
      <c r="G54" s="438">
        <f>SUM(G38:G52)</f>
        <v>4895.9895568440952</v>
      </c>
      <c r="H54" s="41"/>
      <c r="I54" s="257"/>
    </row>
    <row r="55" spans="1:9">
      <c r="B55" s="434"/>
      <c r="C55" s="434"/>
      <c r="D55" s="434"/>
      <c r="E55" s="434"/>
      <c r="F55" s="434"/>
      <c r="G55" s="434"/>
      <c r="H55" s="41"/>
      <c r="I55" s="151"/>
    </row>
    <row r="56" spans="1:9">
      <c r="A56" s="42"/>
      <c r="B56" s="441" t="s">
        <v>22</v>
      </c>
      <c r="C56" s="440">
        <f>C34+C54</f>
        <v>11223.377615239886</v>
      </c>
      <c r="D56" s="440">
        <f>D34+D54</f>
        <v>5991.0925731420502</v>
      </c>
      <c r="E56" s="440">
        <f>E34+E54</f>
        <v>7474.2571311265274</v>
      </c>
      <c r="F56" s="440">
        <f>F34+F54</f>
        <v>9034.1998847430623</v>
      </c>
      <c r="G56" s="440">
        <f>G34+G54</f>
        <v>12377.735420331865</v>
      </c>
      <c r="H56" s="41"/>
      <c r="I56" s="87"/>
    </row>
    <row r="57" spans="1:9">
      <c r="A57" s="42"/>
      <c r="B57" s="434"/>
      <c r="C57" s="442"/>
      <c r="D57" s="442"/>
      <c r="E57" s="442"/>
      <c r="F57" s="442"/>
      <c r="G57" s="442"/>
      <c r="H57" s="41"/>
      <c r="I57" s="258"/>
    </row>
    <row r="58" spans="1:9" ht="15.75" thickBot="1">
      <c r="A58" s="42"/>
      <c r="B58" s="441" t="s">
        <v>23</v>
      </c>
      <c r="C58" s="443">
        <f>C8-C56</f>
        <v>-11223.377615239886</v>
      </c>
      <c r="D58" s="443">
        <f>D8-D56</f>
        <v>-5991.0925731420502</v>
      </c>
      <c r="E58" s="443">
        <f>E8-E56</f>
        <v>-5837.3821311265274</v>
      </c>
      <c r="F58" s="443">
        <f>F8-F56</f>
        <v>-5105.6998847430623</v>
      </c>
      <c r="G58" s="443">
        <f>G8-G56</f>
        <v>2681.5145796681354</v>
      </c>
      <c r="H58" s="41"/>
      <c r="I58" s="259"/>
    </row>
    <row r="59" spans="1:9" ht="15.75" thickTop="1">
      <c r="A59" s="42"/>
      <c r="B59" s="434"/>
      <c r="C59" s="434"/>
      <c r="D59" s="434"/>
      <c r="E59" s="434"/>
      <c r="F59" s="434"/>
      <c r="G59" s="434"/>
      <c r="H59" s="41"/>
      <c r="I59" s="151"/>
    </row>
    <row r="60" spans="1:9">
      <c r="A60" s="42"/>
      <c r="B60" s="444" t="s">
        <v>25</v>
      </c>
      <c r="C60" s="445">
        <f>C56-C8</f>
        <v>11223.377615239886</v>
      </c>
      <c r="D60" s="445">
        <f>SUM(C56:D56)-SUM(C8:D8)</f>
        <v>17214.470188381936</v>
      </c>
      <c r="E60" s="445">
        <f>SUM(C56:E56)-SUM(C8:E8)</f>
        <v>23051.852319508464</v>
      </c>
      <c r="F60" s="445">
        <f>SUM(C56:F56)-SUM(C8:F8)</f>
        <v>28157.552204251522</v>
      </c>
      <c r="G60" s="446"/>
      <c r="H60" s="41"/>
      <c r="I60" s="260"/>
    </row>
    <row r="61" spans="1:9" s="68" customFormat="1">
      <c r="B61" s="57" t="s">
        <v>122</v>
      </c>
      <c r="C61" s="88"/>
      <c r="D61" s="88"/>
      <c r="E61" s="88"/>
      <c r="F61" s="88"/>
      <c r="G61" s="89"/>
      <c r="H61" s="41"/>
      <c r="I61" s="304"/>
    </row>
    <row r="62" spans="1:9" s="68" customFormat="1">
      <c r="B62" s="57" t="s">
        <v>229</v>
      </c>
      <c r="C62" s="88"/>
      <c r="D62" s="88"/>
      <c r="E62" s="88"/>
      <c r="F62" s="88"/>
      <c r="G62" s="89"/>
      <c r="H62" s="41"/>
      <c r="I62" s="90"/>
    </row>
    <row r="63" spans="1:9" s="68" customFormat="1">
      <c r="B63" s="57" t="s">
        <v>194</v>
      </c>
      <c r="C63" s="88"/>
      <c r="D63" s="88"/>
      <c r="E63" s="88"/>
      <c r="F63" s="88"/>
      <c r="G63" s="89"/>
      <c r="H63" s="41"/>
      <c r="I63" s="90"/>
    </row>
    <row r="64" spans="1:9" s="68" customFormat="1" ht="14.25" customHeight="1">
      <c r="B64" s="57" t="s">
        <v>360</v>
      </c>
      <c r="C64" s="41"/>
      <c r="D64" s="41"/>
      <c r="E64" s="41"/>
      <c r="F64" s="41"/>
      <c r="G64" s="41"/>
      <c r="H64" s="41"/>
      <c r="I64" s="41"/>
    </row>
    <row r="65" spans="1:9" s="68" customFormat="1">
      <c r="B65" s="57" t="s">
        <v>361</v>
      </c>
      <c r="C65" s="41"/>
      <c r="D65" s="41"/>
      <c r="E65" s="41"/>
      <c r="F65" s="41"/>
      <c r="G65" s="41"/>
      <c r="H65" s="41"/>
      <c r="I65" s="41"/>
    </row>
    <row r="66" spans="1:9" s="68" customFormat="1">
      <c r="B66" s="57" t="s">
        <v>362</v>
      </c>
      <c r="C66" s="41"/>
      <c r="D66" s="41"/>
      <c r="E66" s="41"/>
      <c r="F66" s="41"/>
      <c r="G66" s="41"/>
      <c r="H66" s="41"/>
      <c r="I66" s="41"/>
    </row>
    <row r="67" spans="1:9" s="68" customFormat="1" ht="12.6" customHeight="1">
      <c r="B67" s="472" t="s">
        <v>363</v>
      </c>
      <c r="C67" s="472"/>
      <c r="D67" s="472"/>
      <c r="E67" s="472"/>
      <c r="F67" s="472"/>
      <c r="G67" s="472"/>
      <c r="H67" s="472"/>
      <c r="I67" s="472"/>
    </row>
    <row r="68" spans="1:9" s="68" customFormat="1">
      <c r="A68" s="159"/>
      <c r="B68" s="473" t="s">
        <v>364</v>
      </c>
      <c r="C68" s="473"/>
      <c r="D68" s="473"/>
      <c r="E68" s="473"/>
      <c r="F68" s="473"/>
      <c r="G68" s="473"/>
      <c r="H68" s="473"/>
      <c r="I68" s="473"/>
    </row>
    <row r="69" spans="1:9" s="68" customFormat="1">
      <c r="A69" s="159"/>
      <c r="B69" s="57" t="s">
        <v>365</v>
      </c>
    </row>
    <row r="70" spans="1:9" ht="15" customHeight="1">
      <c r="B70" s="57" t="s">
        <v>366</v>
      </c>
      <c r="C70" s="68"/>
      <c r="D70" s="68"/>
      <c r="E70" s="68"/>
      <c r="F70" s="68"/>
      <c r="G70" s="68"/>
      <c r="H70" s="68"/>
      <c r="I70" s="68"/>
    </row>
    <row r="71" spans="1:9" ht="27.75" customHeight="1">
      <c r="B71" s="474" t="s">
        <v>367</v>
      </c>
      <c r="C71" s="474"/>
      <c r="D71" s="474"/>
      <c r="E71" s="474"/>
      <c r="F71" s="474"/>
      <c r="G71" s="474"/>
      <c r="H71" s="474"/>
      <c r="I71" s="474"/>
    </row>
  </sheetData>
  <protectedRanges>
    <protectedRange sqref="C5:G6" name="Est Production and Price"/>
    <protectedRange sqref="I5:I60" name="Your Costs"/>
    <protectedRange sqref="I61" name="Your Costs_2"/>
    <protectedRange sqref="I62" name="Your Costs_1"/>
  </protectedRanges>
  <mergeCells count="5">
    <mergeCell ref="B2:I2"/>
    <mergeCell ref="C3:F3"/>
    <mergeCell ref="B67:I67"/>
    <mergeCell ref="B68:I68"/>
    <mergeCell ref="B71:I71"/>
  </mergeCells>
  <phoneticPr fontId="21" type="noConversion"/>
  <printOptions gridLines="1"/>
  <pageMargins left="0.25" right="0.25" top="0.25" bottom="0.25" header="0.3" footer="0.3"/>
  <pageSetup scale="64" orientation="portrait" r:id="rId1"/>
  <ignoredErrors>
    <ignoredError sqref="D60" formula="1"/>
    <ignoredError sqref="E5:G6"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dimension ref="A2:H20"/>
  <sheetViews>
    <sheetView workbookViewId="0">
      <selection activeCell="C8" sqref="C8:C9"/>
    </sheetView>
  </sheetViews>
  <sheetFormatPr defaultColWidth="9.140625" defaultRowHeight="15"/>
  <cols>
    <col min="1" max="1" width="6.7109375" style="41" customWidth="1"/>
    <col min="2" max="2" width="19.42578125" style="41" customWidth="1"/>
    <col min="3" max="3" width="17.140625" style="41" customWidth="1"/>
    <col min="4" max="4" width="17" style="41" customWidth="1"/>
    <col min="5" max="5" width="15.7109375" style="41" customWidth="1"/>
    <col min="6" max="6" width="16" style="41" customWidth="1"/>
    <col min="7" max="7" width="16.28515625" style="41" customWidth="1"/>
    <col min="8" max="8" width="15.140625" style="41" customWidth="1"/>
    <col min="9" max="16384" width="9.140625" style="41"/>
  </cols>
  <sheetData>
    <row r="2" spans="1:8" ht="42.75" customHeight="1">
      <c r="B2" s="478" t="s">
        <v>386</v>
      </c>
      <c r="C2" s="478"/>
      <c r="D2" s="478"/>
      <c r="E2" s="478"/>
      <c r="F2" s="478"/>
      <c r="G2" s="478"/>
      <c r="H2" s="478"/>
    </row>
    <row r="3" spans="1:8">
      <c r="A3" s="163"/>
      <c r="B3" s="476" t="s">
        <v>346</v>
      </c>
      <c r="C3" s="475" t="s">
        <v>189</v>
      </c>
      <c r="D3" s="475"/>
      <c r="E3" s="475"/>
      <c r="F3" s="475"/>
      <c r="G3" s="475"/>
      <c r="H3" s="412"/>
    </row>
    <row r="4" spans="1:8">
      <c r="A4" s="163"/>
      <c r="B4" s="477"/>
      <c r="C4" s="413">
        <v>187.5</v>
      </c>
      <c r="D4" s="413">
        <f>C4+50</f>
        <v>237.5</v>
      </c>
      <c r="E4" s="413">
        <f>D4+50</f>
        <v>287.5</v>
      </c>
      <c r="F4" s="413">
        <f>E4+50</f>
        <v>337.5</v>
      </c>
      <c r="G4" s="413">
        <f>F4+50</f>
        <v>387.5</v>
      </c>
      <c r="H4" s="413">
        <f>G4+50</f>
        <v>437.5</v>
      </c>
    </row>
    <row r="5" spans="1:8">
      <c r="A5" s="163"/>
      <c r="B5" s="164">
        <f>21*$F$19</f>
        <v>20.37</v>
      </c>
      <c r="C5" s="265">
        <f>$B5*C$4-((SUM('B2-Cider Apple Budget'!$G$15:$G$23,$B5*'B13-Data for tables'!$G$37*'B13-Data for tables'!$G$38,'B2-Cider Apple Budget'!$G$26,'B2-Cider Apple Budget'!$G$28:$G$29))*((1+$C$14)*(1+0.75*$C$15)))-'B2-Cider Apple Budget'!$G$54</f>
        <v>-6853.3607000531738</v>
      </c>
      <c r="D5" s="265">
        <f>$B5*D$4-((SUM('B2-Cider Apple Budget'!$G$15:$G$23,$B5*'B13-Data for tables'!$G$37*'B13-Data for tables'!$G$38,'B2-Cider Apple Budget'!$G$26,'B2-Cider Apple Budget'!$G$28:$G$29))*((1+$C$14)*(1+0.75*$C$15)))-'B2-Cider Apple Budget'!$G$54</f>
        <v>-5834.8607000531738</v>
      </c>
      <c r="E5" s="265">
        <f>$B5*E$4-((SUM('B2-Cider Apple Budget'!$G$15:$G$23,$B5*'B13-Data for tables'!$G$37*'B13-Data for tables'!$G$38,'B2-Cider Apple Budget'!$G$26,'B2-Cider Apple Budget'!$G$28:$G$29))*((1+$C$14)*(1+0.75*$C$15)))-'B2-Cider Apple Budget'!$G$54</f>
        <v>-4816.3607000531738</v>
      </c>
      <c r="F5" s="265">
        <f>$B5*F$4-((SUM('B2-Cider Apple Budget'!$G$15:$G$23,$B5*'B13-Data for tables'!$G$37*'B13-Data for tables'!$G$38,'B2-Cider Apple Budget'!$G$26,'B2-Cider Apple Budget'!$G$28:$G$29))*((1+$C$14)*(1+0.75*$C$15)))-'B2-Cider Apple Budget'!$G$54</f>
        <v>-3797.8607000531738</v>
      </c>
      <c r="G5" s="265">
        <f>$B5*G$4-((SUM('B2-Cider Apple Budget'!$G$15:$G$23,$B5*'B13-Data for tables'!$G$37*'B13-Data for tables'!$G$38,'B2-Cider Apple Budget'!$G$26,'B2-Cider Apple Budget'!$G$28:$G$29))*((1+$C$14)*(1+0.75*$C$15)))-'B2-Cider Apple Budget'!$G$54</f>
        <v>-2779.3607000531738</v>
      </c>
      <c r="H5" s="265">
        <f>$B5*H$4-((SUM('B2-Cider Apple Budget'!$G$15:$G$23,$B5*'B13-Data for tables'!$G$37*'B13-Data for tables'!$G$38,'B2-Cider Apple Budget'!$G$26,'B2-Cider Apple Budget'!$G$28:$G$29))*((1+$C$14)*(1+0.75*$C$15)))-'B2-Cider Apple Budget'!$G$54</f>
        <v>-1760.8607000531738</v>
      </c>
    </row>
    <row r="6" spans="1:8">
      <c r="A6" s="163"/>
      <c r="B6" s="164">
        <f>26*$F$19</f>
        <v>25.22</v>
      </c>
      <c r="C6" s="265">
        <f>$B6*C$4-((SUM('B2-Cider Apple Budget'!$G$15:$G$23,$B6*'B13-Data for tables'!$G$37*'B13-Data for tables'!$G$38,'B2-Cider Apple Budget'!$G$26,'B2-Cider Apple Budget'!$G$28:$G$29))*((1+$C$14)*(1+0.75*$C$15)))-'B2-Cider Apple Budget'!$G$54</f>
        <v>-6284.9856441089132</v>
      </c>
      <c r="D6" s="265">
        <f>$B6*D$4-((SUM('B2-Cider Apple Budget'!$G$15:$G$23,$B6*'B13-Data for tables'!$G$37*'B13-Data for tables'!$G$38,'B2-Cider Apple Budget'!$G$26,'B2-Cider Apple Budget'!$G$28:$G$29))*((1+$C$14)*(1+0.75*$C$15)))-'B2-Cider Apple Budget'!$G$54</f>
        <v>-5023.9856441089132</v>
      </c>
      <c r="E6" s="265">
        <f>$B6*E$4-((SUM('B2-Cider Apple Budget'!$G$15:$G$23,$B6*'B13-Data for tables'!$G$37*'B13-Data for tables'!$G$38,'B2-Cider Apple Budget'!$G$26,'B2-Cider Apple Budget'!$G$28:$G$29))*((1+$C$14)*(1+0.75*$C$15)))-'B2-Cider Apple Budget'!$G$54</f>
        <v>-3762.9856441089132</v>
      </c>
      <c r="F6" s="265">
        <f>$B6*F$4-((SUM('B2-Cider Apple Budget'!$G$15:$G$23,$B6*'B13-Data for tables'!$G$37*'B13-Data for tables'!$G$38,'B2-Cider Apple Budget'!$G$26,'B2-Cider Apple Budget'!$G$28:$G$29))*((1+$C$14)*(1+0.75*$C$15)))-'B2-Cider Apple Budget'!$G$54</f>
        <v>-2501.9856441089132</v>
      </c>
      <c r="G6" s="265">
        <f>$B6*G$4-((SUM('B2-Cider Apple Budget'!$G$15:$G$23,$B6*'B13-Data for tables'!$G$37*'B13-Data for tables'!$G$38,'B2-Cider Apple Budget'!$G$26,'B2-Cider Apple Budget'!$G$28:$G$29))*((1+$C$14)*(1+0.75*$C$15)))-'B2-Cider Apple Budget'!$G$54</f>
        <v>-1240.9856441089132</v>
      </c>
      <c r="H6" s="416">
        <f>$B6*H$4-((SUM('B2-Cider Apple Budget'!$G$15:$G$23,$B6*'B13-Data for tables'!$G$37*'B13-Data for tables'!$G$38,'B2-Cider Apple Budget'!$G$26,'B2-Cider Apple Budget'!$G$28:$G$29))*((1+$C$14)*(1+0.75*$C$15)))-'B2-Cider Apple Budget'!$G$54</f>
        <v>20.01435589108678</v>
      </c>
    </row>
    <row r="7" spans="1:8">
      <c r="A7" s="163"/>
      <c r="B7" s="164">
        <f>31*$F$19</f>
        <v>30.07</v>
      </c>
      <c r="C7" s="265">
        <f>$B7*C$4-((SUM('B2-Cider Apple Budget'!$G$15:$G$23,$B7*'B13-Data for tables'!$G$37*'B13-Data for tables'!$G$38,'B2-Cider Apple Budget'!$G$26,'B2-Cider Apple Budget'!$G$28:$G$29))*((1+$C$14)*(1+0.75*$C$15)))-'B2-Cider Apple Budget'!$G$54</f>
        <v>-5716.6105881646508</v>
      </c>
      <c r="D7" s="265">
        <f>$B7*D$4-((SUM('B2-Cider Apple Budget'!$G$15:$G$23,$B7*'B13-Data for tables'!$G$37*'B13-Data for tables'!$G$38,'B2-Cider Apple Budget'!$G$26,'B2-Cider Apple Budget'!$G$28:$G$29))*((1+$C$14)*(1+0.75*$C$15)))-'B2-Cider Apple Budget'!$G$54</f>
        <v>-4213.1105881646508</v>
      </c>
      <c r="E7" s="265">
        <f>$B7*E$4-((SUM('B2-Cider Apple Budget'!$G$15:$G$23,$B7*'B13-Data for tables'!$G$37*'B13-Data for tables'!$G$38,'B2-Cider Apple Budget'!$G$26,'B2-Cider Apple Budget'!$G$28:$G$29))*((1+$C$14)*(1+0.75*$C$15)))-'B2-Cider Apple Budget'!$G$54</f>
        <v>-2709.6105881646508</v>
      </c>
      <c r="F7" s="265">
        <f>$B7*F$4-((SUM('B2-Cider Apple Budget'!$G$15:$G$23,$B7*'B13-Data for tables'!$G$37*'B13-Data for tables'!$G$38,'B2-Cider Apple Budget'!$G$26,'B2-Cider Apple Budget'!$G$28:$G$29))*((1+$C$14)*(1+0.75*$C$15)))-'B2-Cider Apple Budget'!$G$54</f>
        <v>-1206.1105881646508</v>
      </c>
      <c r="G7" s="416">
        <f>$B7*G$4-((SUM('B2-Cider Apple Budget'!$G$15:$G$23,$B7*'B13-Data for tables'!$G$37*'B13-Data for tables'!$G$38,'B2-Cider Apple Budget'!$G$26,'B2-Cider Apple Budget'!$G$28:$G$29))*((1+$C$14)*(1+0.75*$C$15)))-'B2-Cider Apple Budget'!$G$54</f>
        <v>297.38941183534916</v>
      </c>
      <c r="H7" s="416">
        <f>$B7*H$4-((SUM('B2-Cider Apple Budget'!$G$15:$G$23,$B7*'B13-Data for tables'!$G$37*'B13-Data for tables'!$G$38,'B2-Cider Apple Budget'!$G$26,'B2-Cider Apple Budget'!$G$28:$G$29))*((1+$C$14)*(1+0.75*$C$15)))-'B2-Cider Apple Budget'!$G$54</f>
        <v>1800.8894118353492</v>
      </c>
    </row>
    <row r="8" spans="1:8">
      <c r="A8" s="163"/>
      <c r="B8" s="164">
        <f>36*$F$19</f>
        <v>34.92</v>
      </c>
      <c r="C8" s="265">
        <f>$B8*C$4-((SUM('B2-Cider Apple Budget'!$G$15:$G$23,$B8*'B13-Data for tables'!$G$37*'B13-Data for tables'!$G$38,'B2-Cider Apple Budget'!$G$26,'B2-Cider Apple Budget'!$G$28:$G$29))*((1+$C$14)*(1+0.75*$C$15)))-'B2-Cider Apple Budget'!$G$54</f>
        <v>-5148.2355322203894</v>
      </c>
      <c r="D8" s="265">
        <f>$B8*D$4-((SUM('B2-Cider Apple Budget'!$G$15:$G$23,$B8*'B13-Data for tables'!$G$37*'B13-Data for tables'!$G$38,'B2-Cider Apple Budget'!$G$26,'B2-Cider Apple Budget'!$G$28:$G$29))*((1+$C$14)*(1+0.75*$C$15)))-'B2-Cider Apple Budget'!$G$54</f>
        <v>-3402.2355322203894</v>
      </c>
      <c r="E8" s="265">
        <f>$B8*E$4-((SUM('B2-Cider Apple Budget'!$G$15:$G$23,$B8*'B13-Data for tables'!$G$37*'B13-Data for tables'!$G$38,'B2-Cider Apple Budget'!$G$26,'B2-Cider Apple Budget'!$G$28:$G$29))*((1+$C$14)*(1+0.75*$C$15)))-'B2-Cider Apple Budget'!$G$54</f>
        <v>-1656.2355322203894</v>
      </c>
      <c r="F8" s="416">
        <f>$B8*F$4-((SUM('B2-Cider Apple Budget'!$G$15:$G$23,$B8*'B13-Data for tables'!$G$37*'B13-Data for tables'!$G$38,'B2-Cider Apple Budget'!$G$26,'B2-Cider Apple Budget'!$G$28:$G$29))*((1+$C$14)*(1+0.75*$C$15)))-'B2-Cider Apple Budget'!$G$54</f>
        <v>89.764467779610641</v>
      </c>
      <c r="G8" s="416">
        <f>$B8*G$4-((SUM('B2-Cider Apple Budget'!$G$15:$G$23,$B8*'B13-Data for tables'!$G$37*'B13-Data for tables'!$G$38,'B2-Cider Apple Budget'!$G$26,'B2-Cider Apple Budget'!$G$28:$G$29))*((1+$C$14)*(1+0.75*$C$15)))-'B2-Cider Apple Budget'!$G$54</f>
        <v>1835.7644677796106</v>
      </c>
      <c r="H8" s="416">
        <f>$B8*H$4-((SUM('B2-Cider Apple Budget'!$G$15:$G$23,$B8*'B13-Data for tables'!$G$37*'B13-Data for tables'!$G$38,'B2-Cider Apple Budget'!$G$26,'B2-Cider Apple Budget'!$G$28:$G$29))*((1+$C$14)*(1+0.75*$C$15)))-'B2-Cider Apple Budget'!$G$54</f>
        <v>3581.7644677796106</v>
      </c>
    </row>
    <row r="9" spans="1:8" ht="15.95" customHeight="1">
      <c r="B9" s="164">
        <f>41*$F$19</f>
        <v>39.769999999999996</v>
      </c>
      <c r="C9" s="265">
        <f>$B9*C$4-((SUM('B2-Cider Apple Budget'!$G$15:$G$23,$B9*'B13-Data for tables'!$G$37*'B13-Data for tables'!$G$38,'B2-Cider Apple Budget'!$G$26,'B2-Cider Apple Budget'!$G$28:$G$29))*((1+$C$14)*(1+0.75*$C$15)))-'B2-Cider Apple Budget'!$G$54</f>
        <v>-4579.8604762761279</v>
      </c>
      <c r="D9" s="265">
        <f>$B9*D$4-((SUM('B2-Cider Apple Budget'!$G$15:$G$23,$B9*'B13-Data for tables'!$G$37*'B13-Data for tables'!$G$38,'B2-Cider Apple Budget'!$G$26,'B2-Cider Apple Budget'!$G$28:$G$29))*((1+$C$14)*(1+0.75*$C$15)))-'B2-Cider Apple Budget'!$G$54</f>
        <v>-2591.3604762761288</v>
      </c>
      <c r="E9" s="416">
        <f>$B9*E$4-((SUM('B2-Cider Apple Budget'!$G$15:$G$23,$B9*'B13-Data for tables'!$G$37*'B13-Data for tables'!$G$38,'B2-Cider Apple Budget'!$G$26,'B2-Cider Apple Budget'!$G$28:$G$29))*((1+$C$14)*(1+0.75*$C$15)))-'B2-Cider Apple Budget'!$G$54</f>
        <v>-602.86047627612879</v>
      </c>
      <c r="F9" s="416">
        <f>$B9*F$4-((SUM('B2-Cider Apple Budget'!$G$15:$G$23,$B9*'B13-Data for tables'!$G$37*'B13-Data for tables'!$G$38,'B2-Cider Apple Budget'!$G$26,'B2-Cider Apple Budget'!$G$28:$G$29))*((1+$C$14)*(1+0.75*$C$15)))-'B2-Cider Apple Budget'!$G$54</f>
        <v>1385.6395237238712</v>
      </c>
      <c r="G9" s="416">
        <f>$B9*G$4-((SUM('B2-Cider Apple Budget'!$G$15:$G$23,$B9*'B13-Data for tables'!$G$37*'B13-Data for tables'!$G$38,'B2-Cider Apple Budget'!$G$26,'B2-Cider Apple Budget'!$G$28:$G$29))*((1+$C$14)*(1+0.75*$C$15)))-'B2-Cider Apple Budget'!$G$54</f>
        <v>3374.1395237238721</v>
      </c>
      <c r="H9" s="416">
        <f>$B9*H$4-((SUM('B2-Cider Apple Budget'!$G$15:$G$23,$B9*'B13-Data for tables'!$G$37*'B13-Data for tables'!$G$38,'B2-Cider Apple Budget'!$G$26,'B2-Cider Apple Budget'!$G$28:$G$29))*((1+$C$14)*(1+0.75*$C$15)))-'B2-Cider Apple Budget'!$G$54</f>
        <v>5362.6395237238721</v>
      </c>
    </row>
    <row r="10" spans="1:8" ht="15.95" customHeight="1">
      <c r="B10" s="164">
        <f>46*$F$19</f>
        <v>44.62</v>
      </c>
      <c r="C10" s="265">
        <f>$B10*C$4-((SUM('B2-Cider Apple Budget'!$G$15:$G$23,$B10*'B13-Data for tables'!$G$37*'B13-Data for tables'!$G$38,'B2-Cider Apple Budget'!$G$26,'B2-Cider Apple Budget'!$G$28:$G$29))*((1+$C$14)*(1+0.75*$C$15)))-'B2-Cider Apple Budget'!$G$54</f>
        <v>-4011.4854203318664</v>
      </c>
      <c r="D10" s="265">
        <f>$B10*D$4-((SUM('B2-Cider Apple Budget'!$G$15:$G$23,$B10*'B13-Data for tables'!$G$37*'B13-Data for tables'!$G$38,'B2-Cider Apple Budget'!$G$26,'B2-Cider Apple Budget'!$G$28:$G$29))*((1+$C$14)*(1+0.75*$C$15)))-'B2-Cider Apple Budget'!$G$54</f>
        <v>-1780.4854203318664</v>
      </c>
      <c r="E10" s="416">
        <f>$B10*E$4-((SUM('B2-Cider Apple Budget'!$G$15:$G$23,$B10*'B13-Data for tables'!$G$37*'B13-Data for tables'!$G$38,'B2-Cider Apple Budget'!$G$26,'B2-Cider Apple Budget'!$G$28:$G$29))*((1+$C$14)*(1+0.75*$C$15)))-'B2-Cider Apple Budget'!$G$54</f>
        <v>450.51457966813359</v>
      </c>
      <c r="F10" s="416">
        <f>$B10*F$4-((SUM('B2-Cider Apple Budget'!$G$15:$G$23,$B10*'B13-Data for tables'!$G$37*'B13-Data for tables'!$G$38,'B2-Cider Apple Budget'!$G$26,'B2-Cider Apple Budget'!$G$28:$G$29))*((1+$C$14)*(1+0.75*$C$15)))-'B2-Cider Apple Budget'!$G$54</f>
        <v>2681.5145796681336</v>
      </c>
      <c r="G10" s="416">
        <f>$B10*G$4-((SUM('B2-Cider Apple Budget'!$G$15:$G$23,$B10*'B13-Data for tables'!$G$37*'B13-Data for tables'!$G$38,'B2-Cider Apple Budget'!$G$26,'B2-Cider Apple Budget'!$G$28:$G$29))*((1+$C$14)*(1+0.75*$C$15)))-'B2-Cider Apple Budget'!$G$54</f>
        <v>4912.5145796681336</v>
      </c>
      <c r="H10" s="416">
        <f>$B10*H$4-((SUM('B2-Cider Apple Budget'!$G$15:$G$23,$B10*'B13-Data for tables'!$G$37*'B13-Data for tables'!$G$38,'B2-Cider Apple Budget'!$G$26,'B2-Cider Apple Budget'!$G$28:$G$29))*((1+$C$14)*(1+0.75*$C$15)))-'B2-Cider Apple Budget'!$G$54</f>
        <v>7143.5145796681336</v>
      </c>
    </row>
    <row r="11" spans="1:8" ht="15.95" customHeight="1">
      <c r="B11" s="164">
        <f>51*$F$19</f>
        <v>49.47</v>
      </c>
      <c r="C11" s="265">
        <f>$B11*C$4-((SUM('B2-Cider Apple Budget'!$G$15:$G$23,$B11*'B13-Data for tables'!$G$37*'B13-Data for tables'!$G$38,'B2-Cider Apple Budget'!$G$26,'B2-Cider Apple Budget'!$G$28:$G$29))*((1+$C$14)*(1+0.75*$C$15)))-'B2-Cider Apple Budget'!$G$54</f>
        <v>-3443.1103643876058</v>
      </c>
      <c r="D11" s="265">
        <f>$B11*D$4-((SUM('B2-Cider Apple Budget'!$G$15:$G$23,$B11*'B13-Data for tables'!$G$37*'B13-Data for tables'!$G$38,'B2-Cider Apple Budget'!$G$26,'B2-Cider Apple Budget'!$G$28:$G$29))*((1+$C$14)*(1+0.75*$C$15)))-'B2-Cider Apple Budget'!$G$54</f>
        <v>-969.61036438760584</v>
      </c>
      <c r="E11" s="416">
        <f>$B11*E$4-((SUM('B2-Cider Apple Budget'!$G$15:$G$23,$B11*'B13-Data for tables'!$G$37*'B13-Data for tables'!$G$38,'B2-Cider Apple Budget'!$G$26,'B2-Cider Apple Budget'!$G$28:$G$29))*((1+$C$14)*(1+0.75*$C$15)))-'B2-Cider Apple Budget'!$G$54</f>
        <v>1503.8896356123942</v>
      </c>
      <c r="F11" s="416">
        <f>$B11*F$4-((SUM('B2-Cider Apple Budget'!$G$15:$G$23,$B11*'B13-Data for tables'!$G$37*'B13-Data for tables'!$G$38,'B2-Cider Apple Budget'!$G$26,'B2-Cider Apple Budget'!$G$28:$G$29))*((1+$C$14)*(1+0.75*$C$15)))-'B2-Cider Apple Budget'!$G$54</f>
        <v>3977.3896356123951</v>
      </c>
      <c r="G11" s="416">
        <f>$B11*G$4-((SUM('B2-Cider Apple Budget'!$G$15:$G$23,$B11*'B13-Data for tables'!$G$37*'B13-Data for tables'!$G$38,'B2-Cider Apple Budget'!$G$26,'B2-Cider Apple Budget'!$G$28:$G$29))*((1+$C$14)*(1+0.75*$C$15)))-'B2-Cider Apple Budget'!$G$54</f>
        <v>6450.8896356123951</v>
      </c>
      <c r="H11" s="416">
        <f>$B11*H$4-((SUM('B2-Cider Apple Budget'!$G$15:$G$23,$B11*'B13-Data for tables'!$G$37*'B13-Data for tables'!$G$38,'B2-Cider Apple Budget'!$G$26,'B2-Cider Apple Budget'!$G$28:$G$29))*((1+$C$14)*(1+0.75*$C$15)))-'B2-Cider Apple Budget'!$G$54</f>
        <v>8924.3896356123951</v>
      </c>
    </row>
    <row r="12" spans="1:8" ht="15.95" customHeight="1">
      <c r="B12" s="164">
        <f>56*$F$19</f>
        <v>54.32</v>
      </c>
      <c r="C12" s="265">
        <f>$B12*C$4-((SUM('B2-Cider Apple Budget'!$G$15:$G$23,$B12*'B13-Data for tables'!$G$37*'B13-Data for tables'!$G$38,'B2-Cider Apple Budget'!$G$26,'B2-Cider Apple Budget'!$G$28:$G$29))*((1+$C$14)*(1+0.75*$C$15)))-'B2-Cider Apple Budget'!$G$54</f>
        <v>-2874.7353084433435</v>
      </c>
      <c r="D12" s="416">
        <f>$B12*D$4-((SUM('B2-Cider Apple Budget'!$G$15:$G$23,$B12*'B13-Data for tables'!$G$37*'B13-Data for tables'!$G$38,'B2-Cider Apple Budget'!$G$26,'B2-Cider Apple Budget'!$G$28:$G$29))*((1+$C$14)*(1+0.75*$C$15)))-'B2-Cider Apple Budget'!$G$54</f>
        <v>-158.73530844334346</v>
      </c>
      <c r="E12" s="416">
        <f>$B12*E$4-((SUM('B2-Cider Apple Budget'!$G$15:$G$23,$B12*'B13-Data for tables'!$G$37*'B13-Data for tables'!$G$38,'B2-Cider Apple Budget'!$G$26,'B2-Cider Apple Budget'!$G$28:$G$29))*((1+$C$14)*(1+0.75*$C$15)))-'B2-Cider Apple Budget'!$G$54</f>
        <v>2557.2646915566565</v>
      </c>
      <c r="F12" s="416">
        <f>$B12*F$4-((SUM('B2-Cider Apple Budget'!$G$15:$G$23,$B12*'B13-Data for tables'!$G$37*'B13-Data for tables'!$G$38,'B2-Cider Apple Budget'!$G$26,'B2-Cider Apple Budget'!$G$28:$G$29))*((1+$C$14)*(1+0.75*$C$15)))-'B2-Cider Apple Budget'!$G$54</f>
        <v>5273.2646915566565</v>
      </c>
      <c r="G12" s="416">
        <f>$B12*G$4-((SUM('B2-Cider Apple Budget'!$G$15:$G$23,$B12*'B13-Data for tables'!$G$37*'B13-Data for tables'!$G$38,'B2-Cider Apple Budget'!$G$26,'B2-Cider Apple Budget'!$G$28:$G$29))*((1+$C$14)*(1+0.75*$C$15)))-'B2-Cider Apple Budget'!$G$54</f>
        <v>7989.2646915566565</v>
      </c>
      <c r="H12" s="416">
        <f>$B12*H$4-((SUM('B2-Cider Apple Budget'!$G$15:$G$23,$B12*'B13-Data for tables'!$G$37*'B13-Data for tables'!$G$38,'B2-Cider Apple Budget'!$G$26,'B2-Cider Apple Budget'!$G$28:$G$29))*((1+$C$14)*(1+0.75*$C$15)))-'B2-Cider Apple Budget'!$G$54</f>
        <v>10705.264691556657</v>
      </c>
    </row>
    <row r="13" spans="1:8" ht="15.95" customHeight="1">
      <c r="B13" s="274">
        <f>61*$F$19</f>
        <v>59.17</v>
      </c>
      <c r="C13" s="414">
        <f>$B13*C$4-((SUM('B2-Cider Apple Budget'!$G$15:$G$23,$B13*'B13-Data for tables'!$G$37*'B13-Data for tables'!$G$38,'B2-Cider Apple Budget'!$G$26,'B2-Cider Apple Budget'!$G$28:$G$29))*((1+$C$14)*(1+0.75*$C$15)))-'B2-Cider Apple Budget'!$G$54</f>
        <v>-2306.360252499082</v>
      </c>
      <c r="D13" s="417">
        <f>$B13*D$4-((SUM('B2-Cider Apple Budget'!$G$15:$G$23,$B13*'B13-Data for tables'!$G$37*'B13-Data for tables'!$G$38,'B2-Cider Apple Budget'!$G$26,'B2-Cider Apple Budget'!$G$28:$G$29))*((1+$C$14)*(1+0.75*$C$15)))-'B2-Cider Apple Budget'!$G$54</f>
        <v>652.13974750091802</v>
      </c>
      <c r="E13" s="417">
        <f>$B13*E$4-((SUM('B2-Cider Apple Budget'!$G$15:$G$23,$B13*'B13-Data for tables'!$G$37*'B13-Data for tables'!$G$38,'B2-Cider Apple Budget'!$G$26,'B2-Cider Apple Budget'!$G$28:$G$29))*((1+$C$14)*(1+0.75*$C$15)))-'B2-Cider Apple Budget'!$G$54</f>
        <v>3610.639747500918</v>
      </c>
      <c r="F13" s="417">
        <f>$B13*F$4-((SUM('B2-Cider Apple Budget'!$G$15:$G$23,$B13*'B13-Data for tables'!$G$37*'B13-Data for tables'!$G$38,'B2-Cider Apple Budget'!$G$26,'B2-Cider Apple Budget'!$G$28:$G$29))*((1+$C$14)*(1+0.75*$C$15)))-'B2-Cider Apple Budget'!$G$54</f>
        <v>6569.139747500918</v>
      </c>
      <c r="G13" s="417">
        <f>$B13*G$4-((SUM('B2-Cider Apple Budget'!$G$15:$G$23,$B13*'B13-Data for tables'!$G$37*'B13-Data for tables'!$G$38,'B2-Cider Apple Budget'!$G$26,'B2-Cider Apple Budget'!$G$28:$G$29))*((1+$C$14)*(1+0.75*$C$15)))-'B2-Cider Apple Budget'!$G$54</f>
        <v>9527.639747500918</v>
      </c>
      <c r="H13" s="417">
        <f>$B13*H$4-((SUM('B2-Cider Apple Budget'!$G$15:$G$23,$B13*'B13-Data for tables'!$G$37*'B13-Data for tables'!$G$38,'B2-Cider Apple Budget'!$G$26,'B2-Cider Apple Budget'!$G$28:$G$29))*((1+$C$14)*(1+0.75*$C$15)))-'B2-Cider Apple Budget'!$G$54</f>
        <v>12486.139747500918</v>
      </c>
    </row>
    <row r="14" spans="1:8" ht="15.95" customHeight="1">
      <c r="B14" s="165" t="s">
        <v>75</v>
      </c>
      <c r="C14" s="166">
        <f>'B13-Data for tables'!$G$46</f>
        <v>0.05</v>
      </c>
      <c r="D14" s="54"/>
      <c r="E14" s="54"/>
      <c r="F14" s="54"/>
      <c r="G14" s="54"/>
    </row>
    <row r="15" spans="1:8" ht="15.95" customHeight="1">
      <c r="B15" s="167" t="s">
        <v>76</v>
      </c>
      <c r="C15" s="168">
        <f>'B13-Data for tables'!$G$47</f>
        <v>0.05</v>
      </c>
      <c r="D15" s="169"/>
      <c r="E15" s="169"/>
      <c r="F15" s="169"/>
      <c r="G15" s="169"/>
      <c r="H15" s="264"/>
    </row>
    <row r="16" spans="1:8" ht="15.95" customHeight="1">
      <c r="B16" s="170" t="s">
        <v>122</v>
      </c>
      <c r="C16" s="166"/>
      <c r="D16" s="54"/>
      <c r="E16" s="54"/>
      <c r="F16" s="54"/>
      <c r="G16" s="54"/>
    </row>
    <row r="17" spans="2:7" ht="15.95" customHeight="1">
      <c r="B17" s="170" t="s">
        <v>123</v>
      </c>
      <c r="C17" s="166"/>
      <c r="D17" s="54"/>
      <c r="E17" s="54"/>
      <c r="F17" s="54"/>
      <c r="G17" s="54"/>
    </row>
    <row r="18" spans="2:7">
      <c r="B18" s="57" t="s">
        <v>195</v>
      </c>
    </row>
    <row r="19" spans="2:7">
      <c r="B19" s="57" t="s">
        <v>347</v>
      </c>
      <c r="F19" s="411">
        <f>'B13-Data for tables'!G39</f>
        <v>0.97</v>
      </c>
    </row>
    <row r="20" spans="2:7">
      <c r="B20" s="57"/>
      <c r="G20" s="171"/>
    </row>
  </sheetData>
  <protectedRanges>
    <protectedRange sqref="C14:C17 C4:H4 B5:B13" name="Price and Yield"/>
  </protectedRanges>
  <mergeCells count="3">
    <mergeCell ref="C3:G3"/>
    <mergeCell ref="B3:B4"/>
    <mergeCell ref="B2:H2"/>
  </mergeCells>
  <phoneticPr fontId="21" type="noConversion"/>
  <pageMargins left="0.7" right="0.7" top="0.75" bottom="0.75" header="0.3" footer="0.3"/>
  <pageSetup orientation="portrait" r:id="rId1"/>
  <ignoredErrors>
    <ignoredError sqref="B7:B13 B5:B6"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2:N31"/>
  <sheetViews>
    <sheetView workbookViewId="0">
      <selection activeCell="B3" sqref="B3"/>
    </sheetView>
  </sheetViews>
  <sheetFormatPr defaultColWidth="9.140625" defaultRowHeight="15"/>
  <cols>
    <col min="1" max="1" width="6.7109375" style="3" customWidth="1"/>
    <col min="2" max="2" width="30.28515625" style="3" customWidth="1"/>
    <col min="3" max="3" width="13.7109375" style="3" customWidth="1"/>
    <col min="4" max="6" width="12.7109375" style="3" customWidth="1"/>
    <col min="7" max="7" width="17.5703125" style="3" customWidth="1"/>
    <col min="8" max="8" width="3.85546875" style="3" customWidth="1"/>
    <col min="9" max="14" width="9.140625" style="14"/>
    <col min="15" max="16384" width="9.140625" style="3"/>
  </cols>
  <sheetData>
    <row r="2" spans="1:9" ht="36.75" customHeight="1">
      <c r="B2" s="479" t="s">
        <v>385</v>
      </c>
      <c r="C2" s="479"/>
      <c r="D2" s="479"/>
      <c r="E2" s="479"/>
      <c r="F2" s="479"/>
      <c r="G2" s="479"/>
    </row>
    <row r="3" spans="1:9" ht="18" customHeight="1">
      <c r="A3" s="12"/>
      <c r="B3" s="13"/>
      <c r="C3" s="471" t="s">
        <v>0</v>
      </c>
      <c r="D3" s="471"/>
      <c r="E3" s="471"/>
      <c r="F3" s="471"/>
      <c r="G3" s="480" t="s">
        <v>159</v>
      </c>
    </row>
    <row r="4" spans="1:9">
      <c r="A4" s="12"/>
      <c r="B4" s="5"/>
      <c r="C4" s="154" t="s">
        <v>1</v>
      </c>
      <c r="D4" s="154" t="s">
        <v>2</v>
      </c>
      <c r="E4" s="154" t="s">
        <v>3</v>
      </c>
      <c r="F4" s="154" t="s">
        <v>4</v>
      </c>
      <c r="G4" s="481"/>
      <c r="I4" s="92"/>
    </row>
    <row r="5" spans="1:9">
      <c r="A5" s="12"/>
      <c r="B5" s="8" t="s">
        <v>110</v>
      </c>
      <c r="C5" s="2"/>
      <c r="D5" s="2"/>
      <c r="E5" s="2"/>
      <c r="F5" s="2"/>
      <c r="G5" s="2"/>
    </row>
    <row r="6" spans="1:9">
      <c r="B6" s="9" t="s">
        <v>190</v>
      </c>
      <c r="C6" s="15">
        <f>'B9-Estab Costs'!H6</f>
        <v>139698.96519285042</v>
      </c>
      <c r="D6" s="15"/>
      <c r="E6" s="15"/>
      <c r="F6" s="15"/>
    </row>
    <row r="7" spans="1:9">
      <c r="B7" s="9" t="s">
        <v>5</v>
      </c>
      <c r="C7" s="15">
        <f>'B9-Estab Costs'!H14</f>
        <v>21074.706491063025</v>
      </c>
      <c r="D7" s="15"/>
      <c r="E7" s="15"/>
      <c r="F7" s="15"/>
    </row>
    <row r="8" spans="1:9">
      <c r="B8" s="9" t="s">
        <v>6</v>
      </c>
      <c r="C8" s="15">
        <f>'B9-Estab Costs'!H17</f>
        <v>23283.160865475067</v>
      </c>
      <c r="D8" s="15"/>
      <c r="E8" s="15"/>
      <c r="F8" s="15"/>
    </row>
    <row r="9" spans="1:9">
      <c r="B9" s="9" t="s">
        <v>7</v>
      </c>
      <c r="C9" s="15">
        <f>'B9-Estab Costs'!H20</f>
        <v>0</v>
      </c>
      <c r="D9" s="15"/>
      <c r="E9" s="15"/>
      <c r="F9" s="15"/>
    </row>
    <row r="10" spans="1:9" ht="18">
      <c r="B10" s="9" t="s">
        <v>197</v>
      </c>
      <c r="C10" s="15">
        <f>('B2-Cider Apple Budget'!C34+'B2-Cider Apple Budget'!C48+'B2-Cider Apple Budget'!C49+'B2-Cider Apple Budget'!C50+'B2-Cider Apple Budget'!C51)*'B9-Estab Costs'!$L$5</f>
        <v>83091.69372530574</v>
      </c>
      <c r="D10" s="15">
        <f>('B2-Cider Apple Budget'!D34+'B2-Cider Apple Budget'!D48+'B2-Cider Apple Budget'!D49+'B2-Cider Apple Budget'!D50+'B2-Cider Apple Budget'!D51)*'B9-Estab Costs'!$L$5</f>
        <v>30950.608419567263</v>
      </c>
      <c r="E10" s="15">
        <f>('B2-Cider Apple Budget'!E34+'B2-Cider Apple Budget'!E48+'B2-Cider Apple Budget'!E49+'B2-Cider Apple Budget'!E50+'B2-Cider Apple Budget'!E51)*'B9-Estab Costs'!$L$5</f>
        <v>41603.097783513629</v>
      </c>
      <c r="F10" s="15">
        <f>('B2-Cider Apple Budget'!F34+'B2-Cider Apple Budget'!F48+'B2-Cider Apple Budget'!F49+'B2-Cider Apple Budget'!F50+'B2-Cider Apple Budget'!F51)*'B9-Estab Costs'!$L$5</f>
        <v>53015.76060705549</v>
      </c>
      <c r="G10" s="15">
        <f>('B2-Cider Apple Budget'!G34+'B2-Cider Apple Budget'!G48+'B2-Cider Apple Budget'!G49+'B2-Cider Apple Budget'!G50+'B2-Cider Apple Budget'!G51)*'B10-Full Prod Costs'!$L$4</f>
        <v>73715.298848530088</v>
      </c>
    </row>
    <row r="11" spans="1:9">
      <c r="B11" s="16" t="s">
        <v>111</v>
      </c>
      <c r="C11" s="17">
        <f>SUM(C6:C10)</f>
        <v>267148.52627469425</v>
      </c>
      <c r="D11" s="17">
        <f>SUM(D6:D10)</f>
        <v>30950.608419567263</v>
      </c>
      <c r="E11" s="17">
        <f>SUM(E6:E10)</f>
        <v>41603.097783513629</v>
      </c>
      <c r="F11" s="17">
        <f>SUM(F6:F10)</f>
        <v>53015.76060705549</v>
      </c>
      <c r="G11" s="17">
        <f>SUM(G6:G10)</f>
        <v>73715.298848530088</v>
      </c>
    </row>
    <row r="12" spans="1:9">
      <c r="D12" s="17"/>
      <c r="E12" s="17"/>
      <c r="F12" s="17"/>
      <c r="G12" s="17"/>
    </row>
    <row r="13" spans="1:9">
      <c r="B13" s="16" t="s">
        <v>112</v>
      </c>
      <c r="C13" s="17">
        <f>'B2-Cider Apple Budget'!C8*'B9-Estab Costs'!$L$5</f>
        <v>0</v>
      </c>
      <c r="D13" s="17">
        <f>'B2-Cider Apple Budget'!D8*'B9-Estab Costs'!$L$5</f>
        <v>0</v>
      </c>
      <c r="E13" s="17">
        <f>'B2-Cider Apple Budget'!E8*'B9-Estab Costs'!$L$5</f>
        <v>14731.874999999998</v>
      </c>
      <c r="F13" s="17">
        <f>'B2-Cider Apple Budget'!F8*'B9-Estab Costs'!$L$5</f>
        <v>35356.5</v>
      </c>
      <c r="G13" s="17">
        <f>'B2-Cider Apple Budget'!G8*'B9-Estab Costs'!$L$5</f>
        <v>135533.25</v>
      </c>
    </row>
    <row r="14" spans="1:9">
      <c r="D14" s="17"/>
      <c r="E14" s="17"/>
      <c r="F14" s="17"/>
      <c r="G14" s="17"/>
    </row>
    <row r="15" spans="1:9">
      <c r="B15" s="10" t="s">
        <v>113</v>
      </c>
      <c r="C15" s="18">
        <f>C11-C13</f>
        <v>267148.52627469425</v>
      </c>
      <c r="D15" s="18">
        <f>D11-D13</f>
        <v>30950.608419567263</v>
      </c>
      <c r="E15" s="18">
        <f>E11-E13</f>
        <v>26871.222783513629</v>
      </c>
      <c r="F15" s="18">
        <f>F11-F13</f>
        <v>17659.26060705549</v>
      </c>
      <c r="G15" s="18">
        <f>G11-G13</f>
        <v>-61817.951151469912</v>
      </c>
    </row>
    <row r="16" spans="1:9">
      <c r="B16" s="11" t="s">
        <v>122</v>
      </c>
    </row>
    <row r="17" spans="2:14" ht="15.75">
      <c r="B17" s="482" t="s">
        <v>368</v>
      </c>
      <c r="C17" s="482"/>
      <c r="D17" s="482"/>
      <c r="E17" s="482"/>
      <c r="F17" s="482"/>
      <c r="G17" s="482"/>
    </row>
    <row r="18" spans="2:14" ht="28.5" customHeight="1">
      <c r="B18" s="473" t="s">
        <v>196</v>
      </c>
      <c r="C18" s="473"/>
      <c r="D18" s="473"/>
      <c r="E18" s="473"/>
      <c r="F18" s="473"/>
      <c r="G18" s="473"/>
    </row>
    <row r="19" spans="2:14" ht="13.15" customHeight="1">
      <c r="B19" s="160" t="s">
        <v>384</v>
      </c>
      <c r="F19" s="19"/>
      <c r="G19" s="19"/>
    </row>
    <row r="20" spans="2:14">
      <c r="F20" s="1"/>
    </row>
    <row r="21" spans="2:14">
      <c r="F21" s="7"/>
      <c r="G21" s="6"/>
    </row>
    <row r="22" spans="2:14">
      <c r="F22" s="7"/>
      <c r="G22" s="6"/>
    </row>
    <row r="23" spans="2:14" s="266" customFormat="1">
      <c r="B23" s="268"/>
      <c r="C23" s="269"/>
      <c r="D23" s="269"/>
      <c r="E23" s="269"/>
      <c r="F23" s="270"/>
      <c r="G23" s="271"/>
      <c r="I23" s="267"/>
      <c r="J23" s="267"/>
      <c r="K23" s="267"/>
      <c r="L23" s="267"/>
      <c r="M23" s="267"/>
      <c r="N23" s="267"/>
    </row>
    <row r="24" spans="2:14">
      <c r="F24" s="7"/>
      <c r="G24" s="6"/>
      <c r="H24" s="1"/>
    </row>
    <row r="25" spans="2:14">
      <c r="F25" s="7"/>
      <c r="G25" s="6"/>
    </row>
    <row r="26" spans="2:14">
      <c r="F26" s="7"/>
      <c r="G26" s="6"/>
    </row>
    <row r="27" spans="2:14">
      <c r="F27" s="7"/>
      <c r="G27" s="6"/>
    </row>
    <row r="28" spans="2:14">
      <c r="F28" s="7"/>
      <c r="G28" s="6"/>
    </row>
    <row r="29" spans="2:14">
      <c r="F29" s="7"/>
      <c r="G29" s="7"/>
    </row>
    <row r="30" spans="2:14">
      <c r="F30" s="7"/>
      <c r="G30" s="7"/>
    </row>
    <row r="31" spans="2:14">
      <c r="F31" s="1"/>
    </row>
  </sheetData>
  <mergeCells count="5">
    <mergeCell ref="B2:G2"/>
    <mergeCell ref="C3:F3"/>
    <mergeCell ref="G3:G4"/>
    <mergeCell ref="B17:G17"/>
    <mergeCell ref="B18:G18"/>
  </mergeCells>
  <phoneticPr fontId="21"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pageSetUpPr fitToPage="1"/>
  </sheetPr>
  <dimension ref="B2:H27"/>
  <sheetViews>
    <sheetView workbookViewId="0"/>
  </sheetViews>
  <sheetFormatPr defaultColWidth="9.140625" defaultRowHeight="15"/>
  <cols>
    <col min="1" max="1" width="9.140625" style="20"/>
    <col min="2" max="2" width="32" style="4" customWidth="1"/>
    <col min="3" max="3" width="22.28515625" style="4" customWidth="1"/>
    <col min="4" max="6" width="16.7109375" style="4" customWidth="1"/>
    <col min="7" max="7" width="9.140625" style="4"/>
    <col min="8" max="16384" width="9.140625" style="20"/>
  </cols>
  <sheetData>
    <row r="2" spans="2:8" ht="39" customHeight="1">
      <c r="B2" s="483" t="s">
        <v>369</v>
      </c>
      <c r="C2" s="483"/>
      <c r="D2" s="483"/>
      <c r="E2" s="483"/>
      <c r="F2" s="483"/>
      <c r="G2" s="483"/>
    </row>
    <row r="3" spans="2:8" s="338" customFormat="1" ht="30.75">
      <c r="B3" s="335"/>
      <c r="C3" s="336" t="s">
        <v>247</v>
      </c>
      <c r="D3" s="334" t="s">
        <v>280</v>
      </c>
      <c r="E3" s="219" t="s">
        <v>61</v>
      </c>
      <c r="F3" s="219" t="s">
        <v>118</v>
      </c>
      <c r="G3" s="266"/>
      <c r="H3" s="337"/>
    </row>
    <row r="4" spans="2:8">
      <c r="B4" s="223" t="s">
        <v>230</v>
      </c>
      <c r="C4" s="223" t="s">
        <v>239</v>
      </c>
      <c r="D4" s="141">
        <v>25000</v>
      </c>
      <c r="E4" s="142">
        <v>1</v>
      </c>
      <c r="F4" s="26">
        <f t="shared" ref="F4:F15" si="0">D4*E4</f>
        <v>25000</v>
      </c>
      <c r="G4" s="3"/>
      <c r="H4" s="220"/>
    </row>
    <row r="5" spans="2:8">
      <c r="B5" s="223" t="s">
        <v>231</v>
      </c>
      <c r="C5" s="223" t="s">
        <v>240</v>
      </c>
      <c r="D5" s="141">
        <v>4500</v>
      </c>
      <c r="E5" s="142">
        <v>1</v>
      </c>
      <c r="F5" s="26">
        <f t="shared" si="0"/>
        <v>4500</v>
      </c>
      <c r="G5" s="3"/>
      <c r="H5" s="220"/>
    </row>
    <row r="6" spans="2:8">
      <c r="B6" s="223" t="s">
        <v>232</v>
      </c>
      <c r="C6" s="223"/>
      <c r="D6" s="141">
        <v>4000</v>
      </c>
      <c r="E6" s="142">
        <v>1</v>
      </c>
      <c r="F6" s="26">
        <f t="shared" si="0"/>
        <v>4000</v>
      </c>
      <c r="G6" s="3"/>
      <c r="H6" s="220"/>
    </row>
    <row r="7" spans="2:8">
      <c r="B7" s="223" t="s">
        <v>233</v>
      </c>
      <c r="C7" s="223" t="s">
        <v>241</v>
      </c>
      <c r="D7" s="141">
        <v>3500</v>
      </c>
      <c r="E7" s="142">
        <v>1</v>
      </c>
      <c r="F7" s="26">
        <f t="shared" si="0"/>
        <v>3500</v>
      </c>
      <c r="G7" s="3"/>
      <c r="H7" s="220"/>
    </row>
    <row r="8" spans="2:8">
      <c r="B8" s="223" t="s">
        <v>234</v>
      </c>
      <c r="C8" s="223" t="s">
        <v>242</v>
      </c>
      <c r="D8" s="141">
        <v>22000</v>
      </c>
      <c r="E8" s="142">
        <v>1</v>
      </c>
      <c r="F8" s="26">
        <f t="shared" si="0"/>
        <v>22000</v>
      </c>
      <c r="G8" s="3"/>
      <c r="H8" s="220"/>
    </row>
    <row r="9" spans="2:8">
      <c r="B9" s="223" t="s">
        <v>235</v>
      </c>
      <c r="C9" s="223" t="s">
        <v>243</v>
      </c>
      <c r="D9" s="141">
        <v>30000</v>
      </c>
      <c r="E9" s="142">
        <v>1</v>
      </c>
      <c r="F9" s="26">
        <f t="shared" si="0"/>
        <v>30000</v>
      </c>
      <c r="G9" s="3"/>
      <c r="H9" s="220"/>
    </row>
    <row r="10" spans="2:8">
      <c r="B10" s="223" t="s">
        <v>236</v>
      </c>
      <c r="C10" s="223" t="s">
        <v>244</v>
      </c>
      <c r="D10" s="141">
        <v>6000</v>
      </c>
      <c r="E10" s="142">
        <v>1</v>
      </c>
      <c r="F10" s="26">
        <f t="shared" si="0"/>
        <v>6000</v>
      </c>
      <c r="G10" s="3"/>
      <c r="H10" s="220"/>
    </row>
    <row r="11" spans="2:8">
      <c r="B11" s="223" t="s">
        <v>237</v>
      </c>
      <c r="C11" s="223" t="s">
        <v>245</v>
      </c>
      <c r="D11" s="141">
        <v>120</v>
      </c>
      <c r="E11" s="142">
        <v>2</v>
      </c>
      <c r="F11" s="26">
        <f t="shared" si="0"/>
        <v>240</v>
      </c>
      <c r="G11" s="3"/>
      <c r="H11" s="220"/>
    </row>
    <row r="12" spans="2:8">
      <c r="B12" s="223" t="s">
        <v>238</v>
      </c>
      <c r="C12" s="223"/>
      <c r="D12" s="141">
        <v>6600</v>
      </c>
      <c r="E12" s="142">
        <v>1</v>
      </c>
      <c r="F12" s="26">
        <f t="shared" si="0"/>
        <v>6600</v>
      </c>
      <c r="G12" s="3"/>
      <c r="H12" s="220"/>
    </row>
    <row r="13" spans="2:8" ht="18">
      <c r="B13" s="224" t="s">
        <v>277</v>
      </c>
      <c r="C13" s="224" t="s">
        <v>246</v>
      </c>
      <c r="D13" s="143">
        <v>350</v>
      </c>
      <c r="E13" s="144">
        <v>46</v>
      </c>
      <c r="F13" s="26">
        <f>D13*E13</f>
        <v>16100</v>
      </c>
      <c r="G13" s="3"/>
      <c r="H13" s="220"/>
    </row>
    <row r="14" spans="2:8" ht="18">
      <c r="B14" s="224" t="s">
        <v>278</v>
      </c>
      <c r="C14" s="224"/>
      <c r="D14" s="143">
        <v>6000</v>
      </c>
      <c r="E14" s="144">
        <v>1</v>
      </c>
      <c r="F14" s="140">
        <f t="shared" si="0"/>
        <v>6000</v>
      </c>
      <c r="G14" s="3"/>
      <c r="H14" s="220"/>
    </row>
    <row r="15" spans="2:8" ht="18">
      <c r="B15" s="224" t="s">
        <v>279</v>
      </c>
      <c r="C15" s="224"/>
      <c r="D15" s="143">
        <v>30000</v>
      </c>
      <c r="E15" s="144">
        <v>1</v>
      </c>
      <c r="F15" s="140">
        <f t="shared" si="0"/>
        <v>30000</v>
      </c>
      <c r="G15" s="3"/>
      <c r="H15" s="220"/>
    </row>
    <row r="16" spans="2:8">
      <c r="B16" s="221" t="s">
        <v>45</v>
      </c>
      <c r="C16" s="305"/>
      <c r="D16" s="225"/>
      <c r="E16" s="226"/>
      <c r="F16" s="222">
        <f>SUM(F4:F15)</f>
        <v>153940</v>
      </c>
      <c r="G16" s="3"/>
      <c r="H16" s="220"/>
    </row>
    <row r="17" spans="2:8">
      <c r="B17" s="57" t="s">
        <v>122</v>
      </c>
      <c r="C17" s="57"/>
      <c r="D17" s="3"/>
      <c r="E17" s="3"/>
      <c r="F17" s="3"/>
      <c r="G17" s="3"/>
      <c r="H17" s="220"/>
    </row>
    <row r="18" spans="2:8">
      <c r="B18" s="57" t="s">
        <v>273</v>
      </c>
      <c r="C18" s="57"/>
      <c r="D18" s="3"/>
      <c r="E18" s="3"/>
      <c r="F18" s="3"/>
      <c r="G18" s="3"/>
      <c r="H18" s="220"/>
    </row>
    <row r="19" spans="2:8">
      <c r="B19" s="57" t="s">
        <v>274</v>
      </c>
      <c r="C19" s="57"/>
      <c r="D19" s="3"/>
      <c r="E19" s="3"/>
      <c r="F19" s="3"/>
      <c r="G19" s="3"/>
      <c r="H19" s="220"/>
    </row>
    <row r="20" spans="2:8">
      <c r="B20" s="57" t="s">
        <v>275</v>
      </c>
      <c r="C20" s="57"/>
      <c r="D20" s="3"/>
      <c r="E20" s="3"/>
      <c r="F20" s="3"/>
      <c r="G20" s="3"/>
      <c r="H20" s="220"/>
    </row>
    <row r="21" spans="2:8">
      <c r="B21" s="57" t="s">
        <v>276</v>
      </c>
    </row>
    <row r="22" spans="2:8">
      <c r="B22" s="20"/>
      <c r="C22" s="20"/>
    </row>
    <row r="27" spans="2:8">
      <c r="B27" s="24"/>
      <c r="C27" s="24"/>
    </row>
  </sheetData>
  <protectedRanges>
    <protectedRange sqref="D4:E15" name="Price and No. of Units_1_2_1_1"/>
  </protectedRanges>
  <mergeCells count="1">
    <mergeCell ref="B2:G2"/>
  </mergeCells>
  <phoneticPr fontId="21" type="noConversion"/>
  <pageMargins left="0.7" right="0.7" top="0.75" bottom="0.75" header="0.3" footer="0.3"/>
  <pageSetup scale="84" orientation="portrait" horizontalDpi="4294967293" verticalDpi="4294967293" r:id="rId1"/>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dimension ref="B2:K23"/>
  <sheetViews>
    <sheetView workbookViewId="0">
      <selection activeCell="F20" sqref="F20"/>
    </sheetView>
  </sheetViews>
  <sheetFormatPr defaultColWidth="9.140625" defaultRowHeight="15"/>
  <cols>
    <col min="1" max="1" width="6.7109375" style="4" customWidth="1"/>
    <col min="2" max="2" width="33.42578125" style="4" customWidth="1"/>
    <col min="3" max="3" width="15.42578125" style="4" customWidth="1"/>
    <col min="4" max="4" width="14.42578125" style="4" customWidth="1"/>
    <col min="5" max="5" width="16.42578125" style="4" customWidth="1"/>
    <col min="6" max="6" width="14.42578125" style="4" customWidth="1"/>
    <col min="7" max="7" width="17.7109375" style="4" customWidth="1"/>
    <col min="8" max="8" width="5.140625" style="4" customWidth="1"/>
    <col min="9" max="9" width="30.42578125" style="4" customWidth="1"/>
    <col min="10" max="12" width="9.140625" style="4"/>
    <col min="13" max="13" width="10.42578125" style="4" bestFit="1" customWidth="1"/>
    <col min="14" max="16384" width="9.140625" style="4"/>
  </cols>
  <sheetData>
    <row r="2" spans="2:11" ht="32.25" customHeight="1">
      <c r="B2" s="479" t="s">
        <v>387</v>
      </c>
      <c r="C2" s="479"/>
      <c r="D2" s="479"/>
      <c r="E2" s="479"/>
      <c r="F2" s="479"/>
      <c r="G2" s="479"/>
      <c r="H2" s="25"/>
    </row>
    <row r="3" spans="2:11" ht="31.5">
      <c r="B3" s="21"/>
      <c r="C3" s="22" t="s">
        <v>37</v>
      </c>
      <c r="D3" s="22" t="s">
        <v>160</v>
      </c>
      <c r="E3" s="343" t="s">
        <v>31</v>
      </c>
      <c r="F3" s="342" t="s">
        <v>283</v>
      </c>
      <c r="G3" s="22" t="s">
        <v>284</v>
      </c>
    </row>
    <row r="4" spans="2:11" ht="18">
      <c r="B4" s="3" t="s">
        <v>161</v>
      </c>
      <c r="C4" s="26">
        <f>'B9-Estab Costs'!$H$17</f>
        <v>23283.160865475067</v>
      </c>
      <c r="D4" s="26">
        <v>0</v>
      </c>
      <c r="E4" s="37">
        <f>$J$5</f>
        <v>9</v>
      </c>
      <c r="F4" s="23">
        <f>((C4+D4)/2)*$C$8</f>
        <v>582.07902163687675</v>
      </c>
      <c r="G4" s="27">
        <f>F4/E4</f>
        <v>64.675446848541867</v>
      </c>
      <c r="H4" s="28"/>
      <c r="I4" s="31" t="s">
        <v>248</v>
      </c>
      <c r="J4" s="244">
        <v>10</v>
      </c>
      <c r="K4" s="36"/>
    </row>
    <row r="5" spans="2:11">
      <c r="B5" s="3" t="s">
        <v>15</v>
      </c>
      <c r="C5" s="26">
        <f>'B9-Estab Costs'!$H$6</f>
        <v>139698.96519285042</v>
      </c>
      <c r="D5" s="26" t="s">
        <v>141</v>
      </c>
      <c r="E5" s="37">
        <f>$J$4</f>
        <v>10</v>
      </c>
      <c r="F5" s="23">
        <f>C5*$C$8</f>
        <v>6984.9482596425214</v>
      </c>
      <c r="G5" s="27">
        <f>F5/E5</f>
        <v>698.49482596425219</v>
      </c>
      <c r="I5" s="31" t="s">
        <v>249</v>
      </c>
      <c r="J5" s="244">
        <v>9</v>
      </c>
      <c r="K5" s="36"/>
    </row>
    <row r="6" spans="2:11" ht="18">
      <c r="B6" s="3" t="s">
        <v>285</v>
      </c>
      <c r="C6" s="26">
        <f>'B5-Mach. Equip. &amp; Build. Req.'!$F$16</f>
        <v>153940</v>
      </c>
      <c r="D6" s="26">
        <f>'B11-Salv Value &amp; Dep Costs'!F17</f>
        <v>19000</v>
      </c>
      <c r="E6" s="37">
        <f>$J$4</f>
        <v>10</v>
      </c>
      <c r="F6" s="23">
        <f>((C6+D6)/2)*$C$8</f>
        <v>4323.5</v>
      </c>
      <c r="G6" s="27">
        <f>F6/E6</f>
        <v>432.35</v>
      </c>
      <c r="I6" s="263"/>
      <c r="J6" s="273"/>
    </row>
    <row r="7" spans="2:11" ht="18">
      <c r="B7" s="91" t="s">
        <v>162</v>
      </c>
      <c r="C7" s="23">
        <f>'B9-Estab Costs'!$H$14</f>
        <v>21074.706491063025</v>
      </c>
      <c r="D7" s="157">
        <v>0</v>
      </c>
      <c r="E7" s="156">
        <f>$J$5</f>
        <v>9</v>
      </c>
      <c r="F7" s="23">
        <f>((C7+D7)/2)*$C$8</f>
        <v>526.86766227657563</v>
      </c>
      <c r="G7" s="27">
        <f t="shared" ref="G7" si="0">F7/E7</f>
        <v>58.540851364063961</v>
      </c>
      <c r="H7" s="24"/>
      <c r="I7" s="24"/>
    </row>
    <row r="8" spans="2:11">
      <c r="B8" s="245" t="s">
        <v>36</v>
      </c>
      <c r="C8" s="246">
        <f>'B13-Data for tables'!$C$47</f>
        <v>0.05</v>
      </c>
      <c r="D8" s="247"/>
      <c r="E8" s="247"/>
      <c r="F8" s="247"/>
      <c r="G8" s="247"/>
    </row>
    <row r="9" spans="2:11" s="31" customFormat="1">
      <c r="B9" s="32" t="s">
        <v>122</v>
      </c>
    </row>
    <row r="10" spans="2:11" s="31" customFormat="1">
      <c r="B10" s="32" t="s">
        <v>163</v>
      </c>
      <c r="C10" s="339"/>
      <c r="G10" s="340"/>
    </row>
    <row r="11" spans="2:11" s="31" customFormat="1" ht="26.45" customHeight="1">
      <c r="B11" s="485" t="s">
        <v>389</v>
      </c>
      <c r="C11" s="485"/>
      <c r="D11" s="485"/>
      <c r="E11" s="485"/>
      <c r="F11" s="485"/>
      <c r="G11" s="485"/>
    </row>
    <row r="12" spans="2:11" s="31" customFormat="1" ht="27.75" customHeight="1">
      <c r="B12" s="486" t="s">
        <v>191</v>
      </c>
      <c r="C12" s="486"/>
      <c r="D12" s="486"/>
      <c r="E12" s="486"/>
      <c r="F12" s="486"/>
      <c r="G12" s="486"/>
    </row>
    <row r="13" spans="2:11" s="31" customFormat="1" ht="27" customHeight="1">
      <c r="B13" s="486" t="s">
        <v>281</v>
      </c>
      <c r="C13" s="486"/>
      <c r="D13" s="486"/>
      <c r="E13" s="486"/>
      <c r="F13" s="486"/>
      <c r="G13" s="486"/>
    </row>
    <row r="14" spans="2:11" s="31" customFormat="1" ht="15.75" customHeight="1">
      <c r="B14" s="487" t="s">
        <v>370</v>
      </c>
      <c r="C14" s="487"/>
      <c r="D14" s="487"/>
      <c r="E14" s="487"/>
      <c r="F14" s="487"/>
      <c r="G14" s="487"/>
    </row>
    <row r="15" spans="2:11" ht="18.75" customHeight="1"/>
    <row r="16" spans="2:11" ht="39" customHeight="1">
      <c r="B16" s="488" t="s">
        <v>388</v>
      </c>
      <c r="C16" s="488"/>
      <c r="D16" s="488"/>
      <c r="E16" s="488"/>
      <c r="F16" s="488"/>
      <c r="G16" s="488"/>
      <c r="I16" s="28"/>
    </row>
    <row r="17" spans="2:9" s="344" customFormat="1" ht="45">
      <c r="B17" s="345"/>
      <c r="C17" s="343" t="s">
        <v>37</v>
      </c>
      <c r="D17" s="343" t="s">
        <v>31</v>
      </c>
      <c r="E17" s="343" t="s">
        <v>38</v>
      </c>
      <c r="F17" s="343" t="s">
        <v>39</v>
      </c>
      <c r="G17" s="343" t="s">
        <v>164</v>
      </c>
      <c r="I17" s="346"/>
    </row>
    <row r="18" spans="2:9">
      <c r="B18" s="3" t="s">
        <v>6</v>
      </c>
      <c r="C18" s="23">
        <f>C4</f>
        <v>23283.160865475067</v>
      </c>
      <c r="D18" s="37">
        <f>$J$5</f>
        <v>9</v>
      </c>
      <c r="E18" s="30">
        <f>C18/D18</f>
        <v>2587.0178739416742</v>
      </c>
      <c r="F18" s="145">
        <v>25</v>
      </c>
      <c r="G18" s="27">
        <f>(E18-D4)/F18</f>
        <v>103.48071495766698</v>
      </c>
      <c r="I18" s="28"/>
    </row>
    <row r="19" spans="2:9">
      <c r="B19" s="91" t="s">
        <v>10</v>
      </c>
      <c r="C19" s="23">
        <f>C7</f>
        <v>21074.706491063025</v>
      </c>
      <c r="D19" s="37">
        <f>$J$5</f>
        <v>9</v>
      </c>
      <c r="E19" s="30">
        <f t="shared" ref="E19" si="1">C19/D19</f>
        <v>2341.6340545625585</v>
      </c>
      <c r="F19" s="145">
        <v>25</v>
      </c>
      <c r="G19" s="27">
        <f>(E19-D7)/F19</f>
        <v>93.665362182502335</v>
      </c>
    </row>
    <row r="20" spans="2:9" ht="18">
      <c r="B20" s="341" t="s">
        <v>282</v>
      </c>
      <c r="C20" s="236"/>
      <c r="D20" s="237"/>
      <c r="E20" s="238"/>
      <c r="F20" s="239"/>
      <c r="G20" s="241">
        <f>'B11-Salv Value &amp; Dep Costs'!H17</f>
        <v>539.76</v>
      </c>
      <c r="I20" s="63"/>
    </row>
    <row r="21" spans="2:9">
      <c r="B21" s="32" t="s">
        <v>122</v>
      </c>
    </row>
    <row r="22" spans="2:9">
      <c r="B22" s="484" t="s">
        <v>390</v>
      </c>
      <c r="C22" s="484"/>
      <c r="D22" s="484"/>
      <c r="E22" s="484"/>
      <c r="F22" s="484"/>
      <c r="G22" s="484"/>
    </row>
    <row r="23" spans="2:9">
      <c r="B23" s="32" t="s">
        <v>371</v>
      </c>
    </row>
  </sheetData>
  <protectedRanges>
    <protectedRange sqref="F18:F20" name="Depreciation"/>
    <protectedRange sqref="C8" name="Interest and Salvage"/>
    <protectedRange sqref="J4:J6" name="Acres"/>
  </protectedRanges>
  <mergeCells count="7">
    <mergeCell ref="B22:G22"/>
    <mergeCell ref="B2:G2"/>
    <mergeCell ref="B11:G11"/>
    <mergeCell ref="B12:G12"/>
    <mergeCell ref="B13:G13"/>
    <mergeCell ref="B14:G14"/>
    <mergeCell ref="B16:G16"/>
  </mergeCells>
  <phoneticPr fontId="21" type="noConversion"/>
  <pageMargins left="0.7" right="0.7" top="0.75" bottom="0.75" header="0.3" footer="0.3"/>
  <pageSetup orientation="portrait" r:id="rId1"/>
  <ignoredErrors>
    <ignoredError sqref="C8" unlockedFormula="1"/>
    <ignoredError sqref="F5" formula="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B2:R25"/>
  <sheetViews>
    <sheetView workbookViewId="0">
      <selection activeCell="B3" sqref="B3"/>
    </sheetView>
  </sheetViews>
  <sheetFormatPr defaultColWidth="9.140625" defaultRowHeight="15"/>
  <cols>
    <col min="1" max="1" width="9.140625" style="31"/>
    <col min="2" max="2" width="4.140625" style="31" customWidth="1"/>
    <col min="3" max="3" width="25.85546875" style="31" customWidth="1"/>
    <col min="4" max="4" width="14.28515625" style="31" customWidth="1"/>
    <col min="5" max="5" width="19.7109375" style="31" customWidth="1"/>
    <col min="6" max="6" width="7.85546875" style="31" customWidth="1"/>
    <col min="7" max="7" width="12.5703125" style="31" customWidth="1"/>
    <col min="8" max="8" width="1.42578125" style="31" customWidth="1"/>
    <col min="9" max="9" width="18.5703125" style="31" customWidth="1"/>
    <col min="10" max="10" width="24.140625" style="31" customWidth="1"/>
    <col min="11" max="16384" width="9.140625" style="31"/>
  </cols>
  <sheetData>
    <row r="2" spans="2:18" ht="55.5" customHeight="1">
      <c r="B2" s="489" t="s">
        <v>392</v>
      </c>
      <c r="C2" s="489"/>
      <c r="D2" s="489"/>
      <c r="E2" s="489"/>
      <c r="F2" s="489"/>
      <c r="G2" s="489"/>
      <c r="H2" s="489"/>
      <c r="I2" s="489"/>
    </row>
    <row r="3" spans="2:18" ht="31.5">
      <c r="B3" s="347"/>
      <c r="C3" s="327"/>
      <c r="D3" s="348" t="s">
        <v>286</v>
      </c>
      <c r="E3" s="348" t="s">
        <v>287</v>
      </c>
      <c r="F3" s="349"/>
      <c r="G3" s="350" t="s">
        <v>288</v>
      </c>
      <c r="H3" s="351"/>
      <c r="I3" s="350" t="s">
        <v>289</v>
      </c>
    </row>
    <row r="4" spans="2:18">
      <c r="B4" s="1"/>
      <c r="C4" s="1"/>
      <c r="D4" s="352"/>
      <c r="E4" s="353"/>
      <c r="F4" s="91"/>
      <c r="G4" s="91"/>
      <c r="H4" s="91"/>
      <c r="I4" s="354"/>
    </row>
    <row r="5" spans="2:18" ht="17.25">
      <c r="B5" s="355" t="s">
        <v>47</v>
      </c>
      <c r="C5" s="3" t="s">
        <v>24</v>
      </c>
      <c r="D5" s="356">
        <f>'B2-Cider Apple Budget'!$G$34</f>
        <v>7481.7458634877694</v>
      </c>
      <c r="E5" s="356">
        <f>D5/$D$15</f>
        <v>167.67695794459368</v>
      </c>
      <c r="F5" s="357" t="s">
        <v>290</v>
      </c>
      <c r="G5" s="358"/>
      <c r="H5" s="359"/>
      <c r="I5" s="358"/>
    </row>
    <row r="6" spans="2:18">
      <c r="B6" s="3"/>
      <c r="C6" s="3"/>
      <c r="D6" s="356"/>
      <c r="E6" s="356"/>
      <c r="F6" s="360"/>
      <c r="G6" s="360"/>
      <c r="H6" s="360"/>
      <c r="I6" s="360"/>
    </row>
    <row r="7" spans="2:18" ht="17.25">
      <c r="B7" s="361" t="s">
        <v>48</v>
      </c>
      <c r="C7" s="3" t="s">
        <v>291</v>
      </c>
      <c r="D7" s="362">
        <f>D5+SUM('B2-Cider Apple Budget'!$G$48:$G$50)</f>
        <v>7880.1466160747877</v>
      </c>
      <c r="E7" s="362">
        <f>D7/$D$15</f>
        <v>176.60570632171198</v>
      </c>
      <c r="F7" s="357" t="s">
        <v>292</v>
      </c>
      <c r="G7" s="358"/>
      <c r="H7" s="359"/>
      <c r="I7" s="358"/>
      <c r="J7" s="363"/>
      <c r="K7" s="363"/>
      <c r="L7" s="363"/>
      <c r="M7" s="363"/>
      <c r="N7" s="363"/>
      <c r="O7" s="363"/>
      <c r="P7" s="363"/>
      <c r="Q7" s="363"/>
      <c r="R7" s="363"/>
    </row>
    <row r="8" spans="2:18" ht="60">
      <c r="B8" s="3"/>
      <c r="C8" s="364" t="s">
        <v>293</v>
      </c>
      <c r="D8" s="356"/>
      <c r="E8" s="356"/>
      <c r="F8" s="360"/>
      <c r="G8" s="360"/>
      <c r="H8" s="360"/>
      <c r="I8" s="360"/>
    </row>
    <row r="9" spans="2:18">
      <c r="B9" s="3"/>
      <c r="C9" s="3"/>
      <c r="D9" s="356"/>
      <c r="E9" s="356"/>
      <c r="F9" s="360"/>
      <c r="G9" s="360"/>
      <c r="H9" s="360"/>
      <c r="I9" s="360"/>
    </row>
    <row r="10" spans="2:18" ht="30">
      <c r="B10" s="361" t="s">
        <v>49</v>
      </c>
      <c r="C10" s="83" t="s">
        <v>294</v>
      </c>
      <c r="D10" s="362">
        <f>D7+SUM('B2-Cider Apple Budget'!G38:G40)</f>
        <v>8617.0526932149569</v>
      </c>
      <c r="E10" s="362">
        <f>D10/$D$15</f>
        <v>193.12085820741726</v>
      </c>
      <c r="F10" s="357" t="s">
        <v>295</v>
      </c>
      <c r="G10" s="358"/>
      <c r="H10" s="359"/>
      <c r="I10" s="358"/>
      <c r="J10" s="363"/>
      <c r="K10" s="363"/>
      <c r="L10" s="363"/>
      <c r="M10" s="363"/>
      <c r="N10" s="363"/>
      <c r="O10" s="363"/>
      <c r="P10" s="363"/>
      <c r="Q10" s="363"/>
      <c r="R10" s="363"/>
    </row>
    <row r="11" spans="2:18">
      <c r="B11" s="3"/>
      <c r="C11" s="365"/>
      <c r="D11" s="366"/>
      <c r="E11" s="366"/>
      <c r="F11" s="360"/>
      <c r="G11" s="360"/>
      <c r="H11" s="360"/>
      <c r="I11" s="360"/>
      <c r="J11" s="363"/>
      <c r="K11" s="363"/>
      <c r="L11" s="363"/>
      <c r="M11" s="363"/>
      <c r="N11" s="363"/>
      <c r="O11" s="363"/>
      <c r="P11" s="363"/>
      <c r="Q11" s="363"/>
      <c r="R11" s="363"/>
    </row>
    <row r="12" spans="2:18" ht="16.5">
      <c r="B12" s="355" t="s">
        <v>51</v>
      </c>
      <c r="C12" s="3" t="s">
        <v>45</v>
      </c>
      <c r="D12" s="367"/>
      <c r="E12" s="356"/>
      <c r="G12" s="368"/>
      <c r="H12" s="368"/>
      <c r="I12" s="368"/>
      <c r="J12" s="363"/>
      <c r="K12" s="363"/>
      <c r="L12" s="363"/>
      <c r="M12" s="363"/>
      <c r="N12" s="363"/>
      <c r="O12" s="363"/>
      <c r="P12" s="363"/>
      <c r="Q12" s="363"/>
      <c r="R12" s="363"/>
    </row>
    <row r="13" spans="2:18" ht="60">
      <c r="B13" s="1"/>
      <c r="C13" s="369" t="s">
        <v>296</v>
      </c>
      <c r="D13" s="370">
        <f>'B2-Cider Apple Budget'!$G$56</f>
        <v>12377.735420331865</v>
      </c>
      <c r="E13" s="370">
        <f>D13/$D$15</f>
        <v>277.40330390703417</v>
      </c>
      <c r="F13" s="359" t="s">
        <v>297</v>
      </c>
      <c r="G13" s="358"/>
      <c r="H13" s="359"/>
      <c r="I13" s="358"/>
      <c r="J13" s="363"/>
      <c r="K13" s="363"/>
      <c r="L13" s="363"/>
      <c r="M13" s="363"/>
      <c r="N13" s="363"/>
      <c r="O13" s="363"/>
      <c r="P13" s="363"/>
      <c r="Q13" s="363"/>
      <c r="R13" s="363"/>
    </row>
    <row r="14" spans="2:18" ht="17.25">
      <c r="B14" s="371"/>
      <c r="C14" s="372"/>
      <c r="D14" s="373"/>
      <c r="E14" s="374"/>
      <c r="F14" s="375"/>
      <c r="G14" s="376"/>
      <c r="H14" s="376"/>
      <c r="I14" s="376"/>
      <c r="J14" s="363"/>
      <c r="K14" s="363"/>
      <c r="L14" s="363"/>
      <c r="M14" s="363"/>
      <c r="N14" s="363"/>
      <c r="O14" s="363"/>
      <c r="P14" s="363"/>
      <c r="Q14" s="363"/>
      <c r="R14" s="363"/>
    </row>
    <row r="15" spans="2:18">
      <c r="B15" s="32" t="s">
        <v>298</v>
      </c>
      <c r="D15" s="377">
        <f>'B2-Cider Apple Budget'!$G$5</f>
        <v>44.62</v>
      </c>
    </row>
    <row r="16" spans="2:18">
      <c r="B16" s="32" t="s">
        <v>299</v>
      </c>
      <c r="D16" s="378">
        <v>315</v>
      </c>
    </row>
    <row r="17" spans="2:18">
      <c r="B17" s="32" t="s">
        <v>122</v>
      </c>
    </row>
    <row r="18" spans="2:18">
      <c r="B18" s="486" t="s">
        <v>300</v>
      </c>
      <c r="C18" s="486"/>
      <c r="D18" s="486"/>
      <c r="E18" s="486"/>
      <c r="F18" s="486"/>
      <c r="G18" s="486"/>
      <c r="H18" s="486"/>
      <c r="I18" s="486"/>
    </row>
    <row r="19" spans="2:18">
      <c r="B19" s="486" t="s">
        <v>301</v>
      </c>
      <c r="C19" s="486"/>
      <c r="D19" s="486"/>
      <c r="E19" s="486"/>
      <c r="F19" s="486"/>
      <c r="G19" s="486"/>
      <c r="H19" s="486"/>
      <c r="I19" s="486"/>
    </row>
    <row r="20" spans="2:18">
      <c r="B20" s="486" t="s">
        <v>302</v>
      </c>
      <c r="C20" s="486"/>
      <c r="D20" s="486"/>
      <c r="E20" s="486"/>
      <c r="F20" s="486"/>
      <c r="G20" s="486"/>
      <c r="H20" s="486"/>
      <c r="I20" s="486"/>
      <c r="J20" s="363"/>
      <c r="K20" s="363"/>
      <c r="L20" s="363"/>
      <c r="M20" s="363"/>
      <c r="N20" s="363"/>
      <c r="O20" s="363"/>
      <c r="P20" s="363"/>
      <c r="Q20" s="363"/>
      <c r="R20" s="363"/>
    </row>
    <row r="21" spans="2:18">
      <c r="B21" s="486" t="s">
        <v>303</v>
      </c>
      <c r="C21" s="486"/>
      <c r="D21" s="486"/>
      <c r="E21" s="486"/>
      <c r="F21" s="486"/>
      <c r="G21" s="486"/>
      <c r="H21" s="486"/>
      <c r="I21" s="486"/>
      <c r="J21" s="363"/>
      <c r="K21" s="363"/>
      <c r="L21" s="363"/>
      <c r="M21" s="363"/>
      <c r="N21" s="363"/>
      <c r="O21" s="363"/>
      <c r="P21" s="363"/>
      <c r="Q21" s="363"/>
      <c r="R21" s="363"/>
    </row>
    <row r="22" spans="2:18">
      <c r="B22" s="486" t="s">
        <v>304</v>
      </c>
      <c r="C22" s="486"/>
      <c r="D22" s="486"/>
      <c r="E22" s="486"/>
      <c r="F22" s="486"/>
      <c r="G22" s="486"/>
      <c r="H22" s="486"/>
      <c r="I22" s="486"/>
      <c r="J22" s="363"/>
      <c r="K22" s="363"/>
      <c r="L22" s="363"/>
      <c r="M22" s="363"/>
      <c r="N22" s="363"/>
      <c r="O22" s="363"/>
      <c r="P22" s="363"/>
      <c r="Q22" s="363"/>
      <c r="R22" s="363"/>
    </row>
    <row r="23" spans="2:18">
      <c r="B23" s="32"/>
    </row>
    <row r="24" spans="2:18">
      <c r="B24" s="379"/>
    </row>
    <row r="25" spans="2:18">
      <c r="B25" s="32"/>
    </row>
  </sheetData>
  <protectedRanges>
    <protectedRange sqref="D15" name="Yield"/>
    <protectedRange sqref="G5:I13" name="Cost and breakeven"/>
  </protectedRanges>
  <mergeCells count="6">
    <mergeCell ref="B22:I22"/>
    <mergeCell ref="B2:I2"/>
    <mergeCell ref="B18:I18"/>
    <mergeCell ref="B19:I19"/>
    <mergeCell ref="B20:I20"/>
    <mergeCell ref="B21:I2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T106"/>
  <sheetViews>
    <sheetView workbookViewId="0">
      <selection activeCell="B3" sqref="B3"/>
    </sheetView>
  </sheetViews>
  <sheetFormatPr defaultColWidth="9.140625" defaultRowHeight="15"/>
  <cols>
    <col min="1" max="1" width="9.7109375" style="42" customWidth="1"/>
    <col min="2" max="2" width="45.42578125" style="42" customWidth="1"/>
    <col min="3" max="3" width="13.42578125" style="42" customWidth="1"/>
    <col min="4" max="4" width="13.28515625" style="42" bestFit="1" customWidth="1"/>
    <col min="5" max="5" width="13.140625" style="42" customWidth="1"/>
    <col min="6" max="6" width="12.85546875" style="42" customWidth="1"/>
    <col min="7" max="8" width="14.42578125" style="42" customWidth="1"/>
    <col min="9" max="9" width="11.42578125" style="42" customWidth="1"/>
    <col min="10" max="10" width="11.7109375" style="42" customWidth="1"/>
    <col min="11" max="11" width="10.140625" style="42" customWidth="1"/>
    <col min="12" max="12" width="7.140625" style="42" customWidth="1"/>
    <col min="13" max="16384" width="9.140625" style="42"/>
  </cols>
  <sheetData>
    <row r="2" spans="1:12" ht="38.25" customHeight="1">
      <c r="B2" s="490" t="s">
        <v>393</v>
      </c>
      <c r="C2" s="490"/>
      <c r="D2" s="490"/>
      <c r="E2" s="490"/>
      <c r="F2" s="490"/>
      <c r="G2" s="490"/>
      <c r="H2" s="490"/>
    </row>
    <row r="3" spans="1:12" ht="29.25">
      <c r="B3" s="71"/>
      <c r="C3" s="93" t="s">
        <v>32</v>
      </c>
      <c r="D3" s="93" t="s">
        <v>30</v>
      </c>
      <c r="E3" s="93" t="s">
        <v>33</v>
      </c>
      <c r="F3" s="93" t="s">
        <v>31</v>
      </c>
      <c r="G3" s="94" t="s">
        <v>34</v>
      </c>
      <c r="H3" s="94" t="s">
        <v>35</v>
      </c>
    </row>
    <row r="4" spans="1:12">
      <c r="B4" s="72" t="s">
        <v>26</v>
      </c>
      <c r="J4" s="68" t="s">
        <v>59</v>
      </c>
      <c r="L4" s="149">
        <v>10</v>
      </c>
    </row>
    <row r="5" spans="1:12">
      <c r="B5" s="68" t="s">
        <v>15</v>
      </c>
      <c r="J5" s="68" t="s">
        <v>60</v>
      </c>
      <c r="L5" s="149">
        <v>9</v>
      </c>
    </row>
    <row r="6" spans="1:12" ht="15" customHeight="1">
      <c r="B6" s="73" t="s">
        <v>168</v>
      </c>
      <c r="C6" s="95"/>
      <c r="D6" s="95"/>
      <c r="E6" s="64">
        <f>'B13-Data for tables'!$C$5</f>
        <v>13969.896519285041</v>
      </c>
      <c r="F6" s="96">
        <f>$L$4</f>
        <v>10</v>
      </c>
      <c r="G6" s="95">
        <f>E6</f>
        <v>13969.896519285041</v>
      </c>
      <c r="H6" s="95">
        <f>G6*F6</f>
        <v>139698.96519285042</v>
      </c>
      <c r="I6" s="97"/>
      <c r="J6" s="42" t="s">
        <v>55</v>
      </c>
      <c r="L6" s="150">
        <f>'B13-Data for tables'!$G$52</f>
        <v>726</v>
      </c>
    </row>
    <row r="7" spans="1:12" ht="18">
      <c r="A7" s="40"/>
      <c r="B7" s="68" t="s">
        <v>305</v>
      </c>
      <c r="E7" s="98"/>
      <c r="F7" s="96">
        <f>$L$5</f>
        <v>9</v>
      </c>
      <c r="G7" s="95">
        <f>SUM(E8:E10)</f>
        <v>517.40357478833494</v>
      </c>
      <c r="H7" s="95">
        <f>G7*F7</f>
        <v>4656.6321730950149</v>
      </c>
      <c r="I7" s="99"/>
    </row>
    <row r="8" spans="1:12">
      <c r="A8" s="40"/>
      <c r="B8" s="73" t="s">
        <v>106</v>
      </c>
      <c r="C8" s="103"/>
      <c r="D8" s="103"/>
      <c r="E8" s="64">
        <f>'B13-Data for tables'!$C$6</f>
        <v>155.22107243650046</v>
      </c>
      <c r="F8" s="44"/>
      <c r="G8" s="95"/>
      <c r="H8" s="95"/>
      <c r="I8" s="97"/>
      <c r="J8" s="100"/>
    </row>
    <row r="9" spans="1:12">
      <c r="A9" s="40"/>
      <c r="B9" s="73" t="s">
        <v>227</v>
      </c>
      <c r="C9" s="103"/>
      <c r="D9" s="103"/>
      <c r="E9" s="64">
        <f>'B13-Data for tables'!$C$7</f>
        <v>258.70178739416741</v>
      </c>
      <c r="F9" s="44"/>
      <c r="G9" s="95"/>
      <c r="H9" s="95"/>
      <c r="I9" s="97"/>
      <c r="J9" s="100"/>
    </row>
    <row r="10" spans="1:12">
      <c r="A10" s="40"/>
      <c r="B10" s="73" t="s">
        <v>140</v>
      </c>
      <c r="E10" s="64">
        <f>'B13-Data for tables'!$C$8</f>
        <v>103.48071495766698</v>
      </c>
      <c r="F10" s="96"/>
      <c r="G10" s="95"/>
      <c r="H10" s="95"/>
      <c r="I10" s="99"/>
    </row>
    <row r="11" spans="1:12">
      <c r="B11" s="68" t="s">
        <v>27</v>
      </c>
      <c r="C11" s="95"/>
      <c r="D11" s="95"/>
      <c r="E11" s="95"/>
      <c r="F11" s="96">
        <f>$L$5</f>
        <v>9</v>
      </c>
      <c r="G11" s="95">
        <f>SUM(E12:E13)</f>
        <v>5421.4374412041388</v>
      </c>
      <c r="H11" s="95">
        <f>G11*F11</f>
        <v>48792.936970837247</v>
      </c>
      <c r="I11" s="99"/>
    </row>
    <row r="12" spans="1:12">
      <c r="B12" s="73" t="s">
        <v>54</v>
      </c>
      <c r="C12" s="64">
        <f>'B13-Data for tables'!$C$10</f>
        <v>6.467544684854186</v>
      </c>
      <c r="D12" s="96">
        <f>$L$6</f>
        <v>726</v>
      </c>
      <c r="E12" s="44">
        <f>C12*D12</f>
        <v>4695.4374412041388</v>
      </c>
      <c r="I12" s="99"/>
    </row>
    <row r="13" spans="1:12">
      <c r="B13" s="73" t="s">
        <v>69</v>
      </c>
      <c r="C13" s="64">
        <v>1</v>
      </c>
      <c r="D13" s="96">
        <f>$L$6</f>
        <v>726</v>
      </c>
      <c r="E13" s="44">
        <f>C13*D13</f>
        <v>726</v>
      </c>
      <c r="F13" s="96"/>
      <c r="G13" s="95"/>
      <c r="H13" s="95"/>
      <c r="I13" s="97"/>
    </row>
    <row r="14" spans="1:12">
      <c r="B14" s="380" t="s">
        <v>5</v>
      </c>
      <c r="C14" s="104"/>
      <c r="D14" s="105"/>
      <c r="E14" s="95"/>
      <c r="F14" s="96">
        <f>$L$5</f>
        <v>9</v>
      </c>
      <c r="G14" s="95">
        <f>SUM(E15:E16)</f>
        <v>2341.6340545625585</v>
      </c>
      <c r="H14" s="95">
        <f>G14*F14</f>
        <v>21074.706491063025</v>
      </c>
      <c r="I14" s="97"/>
    </row>
    <row r="15" spans="1:12">
      <c r="B15" s="73" t="s">
        <v>71</v>
      </c>
      <c r="C15" s="64"/>
      <c r="D15" s="106"/>
      <c r="E15" s="102">
        <f>'B13-Data for tables'!$C$12-'B13-Data for tables'!$C$19</f>
        <v>1674.1834430856065</v>
      </c>
      <c r="I15" s="99"/>
    </row>
    <row r="16" spans="1:12">
      <c r="B16" s="73" t="s">
        <v>70</v>
      </c>
      <c r="C16" s="64"/>
      <c r="D16" s="106"/>
      <c r="E16" s="102">
        <f>'B13-Data for tables'!$C$19</f>
        <v>667.45061147695196</v>
      </c>
      <c r="F16" s="96"/>
      <c r="G16" s="95"/>
      <c r="H16" s="95"/>
      <c r="I16" s="108"/>
      <c r="J16" s="107"/>
    </row>
    <row r="17" spans="2:9">
      <c r="B17" s="68" t="s">
        <v>56</v>
      </c>
      <c r="C17" s="104"/>
      <c r="D17" s="104"/>
      <c r="E17" s="95"/>
      <c r="F17" s="96">
        <f>$L$5</f>
        <v>9</v>
      </c>
      <c r="G17" s="95">
        <f>SUM(E18:E20)</f>
        <v>2587.0178739416742</v>
      </c>
      <c r="H17" s="95">
        <f>G17*F17</f>
        <v>23283.160865475067</v>
      </c>
    </row>
    <row r="18" spans="2:9">
      <c r="B18" s="73" t="s">
        <v>104</v>
      </c>
      <c r="C18" s="62"/>
      <c r="D18" s="101"/>
      <c r="E18" s="102">
        <f>'B13-Data for tables'!$C$20</f>
        <v>776.10536218250229</v>
      </c>
      <c r="I18" s="68"/>
    </row>
    <row r="19" spans="2:9">
      <c r="B19" s="73" t="s">
        <v>57</v>
      </c>
      <c r="C19" s="64"/>
      <c r="D19" s="101"/>
      <c r="E19" s="102">
        <f>'B13-Data for tables'!$C$21</f>
        <v>103.48071495766698</v>
      </c>
      <c r="F19" s="96"/>
      <c r="G19" s="95"/>
      <c r="H19" s="95"/>
      <c r="I19" s="108"/>
    </row>
    <row r="20" spans="2:9">
      <c r="B20" s="73" t="s">
        <v>306</v>
      </c>
      <c r="C20" s="104"/>
      <c r="D20" s="109"/>
      <c r="E20" s="102">
        <f>'B13-Data for tables'!$C$22+'B13-Data for tables'!$C$23</f>
        <v>1707.431796801505</v>
      </c>
      <c r="F20" s="96"/>
      <c r="G20" s="95"/>
      <c r="H20" s="95"/>
      <c r="I20" s="99"/>
    </row>
    <row r="21" spans="2:9" ht="18">
      <c r="B21" s="41" t="s">
        <v>165</v>
      </c>
      <c r="C21" s="62"/>
      <c r="D21" s="96"/>
      <c r="E21" s="102">
        <f>'B13-Data for tables'!$C$24</f>
        <v>298.02445907808089</v>
      </c>
      <c r="F21" s="96">
        <f t="shared" ref="F21:F34" si="0">$L$5</f>
        <v>9</v>
      </c>
      <c r="G21" s="95">
        <f>E21</f>
        <v>298.02445907808089</v>
      </c>
      <c r="H21" s="44">
        <f t="shared" ref="H21:H30" si="1">G21*F21</f>
        <v>2682.2201317027279</v>
      </c>
      <c r="I21" s="97"/>
    </row>
    <row r="22" spans="2:9" ht="18">
      <c r="B22" s="41" t="s">
        <v>166</v>
      </c>
      <c r="C22" s="124"/>
      <c r="D22" s="123"/>
      <c r="E22" s="102">
        <f>'B13-Data for tables'!$C$25</f>
        <v>0</v>
      </c>
      <c r="F22" s="96">
        <f t="shared" si="0"/>
        <v>9</v>
      </c>
      <c r="G22" s="95">
        <f t="shared" ref="G22" si="2">E22</f>
        <v>0</v>
      </c>
      <c r="H22" s="44">
        <f t="shared" si="1"/>
        <v>0</v>
      </c>
      <c r="I22" s="135"/>
    </row>
    <row r="23" spans="2:9" ht="18">
      <c r="B23" s="41" t="s">
        <v>167</v>
      </c>
      <c r="C23" s="104"/>
      <c r="D23" s="109"/>
      <c r="E23" s="64">
        <f>'B13-Data for tables'!$C$26</f>
        <v>362.18250235183439</v>
      </c>
      <c r="F23" s="96">
        <f t="shared" si="0"/>
        <v>9</v>
      </c>
      <c r="G23" s="44">
        <f t="shared" ref="G23:G29" si="3">E23</f>
        <v>362.18250235183439</v>
      </c>
      <c r="H23" s="44">
        <f t="shared" ref="H23" si="4">G23*F23</f>
        <v>3259.6425211665096</v>
      </c>
      <c r="I23" s="134"/>
    </row>
    <row r="24" spans="2:9" ht="18">
      <c r="B24" s="41" t="s">
        <v>307</v>
      </c>
      <c r="C24" s="104"/>
      <c r="D24" s="109"/>
      <c r="E24" s="64">
        <f>'B13-Data for tables'!$C$27</f>
        <v>124.17685794920037</v>
      </c>
      <c r="F24" s="96">
        <f t="shared" si="0"/>
        <v>9</v>
      </c>
      <c r="G24" s="44">
        <f t="shared" si="3"/>
        <v>124.17685794920037</v>
      </c>
      <c r="H24" s="44">
        <f t="shared" ref="H24" si="5">G24*F24</f>
        <v>1117.5917215428033</v>
      </c>
      <c r="I24" s="134"/>
    </row>
    <row r="25" spans="2:9">
      <c r="B25" s="41" t="s">
        <v>308</v>
      </c>
      <c r="C25" s="62"/>
      <c r="D25" s="101"/>
      <c r="E25" s="102">
        <f>'B13-Data for tables'!$C$28</f>
        <v>0</v>
      </c>
      <c r="F25" s="96">
        <f t="shared" si="0"/>
        <v>9</v>
      </c>
      <c r="G25" s="44">
        <f t="shared" si="3"/>
        <v>0</v>
      </c>
      <c r="H25" s="44">
        <f t="shared" ref="H25" si="6">G25*F25</f>
        <v>0</v>
      </c>
      <c r="I25" s="65"/>
    </row>
    <row r="26" spans="2:9" ht="18">
      <c r="B26" s="74" t="s">
        <v>309</v>
      </c>
      <c r="C26" s="62"/>
      <c r="D26" s="101"/>
      <c r="E26" s="102">
        <f>'B13-Data for tables'!$C$41</f>
        <v>186.26528692380055</v>
      </c>
      <c r="F26" s="96">
        <f t="shared" si="0"/>
        <v>9</v>
      </c>
      <c r="G26" s="95">
        <f t="shared" si="3"/>
        <v>186.26528692380055</v>
      </c>
      <c r="H26" s="95">
        <f t="shared" si="1"/>
        <v>1676.3875823142048</v>
      </c>
      <c r="I26" s="65"/>
    </row>
    <row r="27" spans="2:9">
      <c r="B27" s="74" t="s">
        <v>139</v>
      </c>
      <c r="C27" s="62"/>
      <c r="D27" s="101"/>
      <c r="E27" s="102">
        <f>'B13-Data for tables'!$C$29</f>
        <v>0</v>
      </c>
      <c r="F27" s="96">
        <f t="shared" si="0"/>
        <v>9</v>
      </c>
      <c r="G27" s="95">
        <f t="shared" si="3"/>
        <v>0</v>
      </c>
      <c r="H27" s="95">
        <f t="shared" ref="H27" si="7">G27*F27</f>
        <v>0</v>
      </c>
      <c r="I27" s="65"/>
    </row>
    <row r="28" spans="2:9">
      <c r="B28" s="75" t="s">
        <v>14</v>
      </c>
      <c r="C28" s="110"/>
      <c r="D28" s="111"/>
      <c r="E28" s="66">
        <f>'B13-Data for tables'!$C$30</f>
        <v>149.01222953904045</v>
      </c>
      <c r="F28" s="96">
        <f t="shared" si="0"/>
        <v>9</v>
      </c>
      <c r="G28" s="95">
        <f t="shared" si="3"/>
        <v>149.01222953904045</v>
      </c>
      <c r="H28" s="95">
        <f t="shared" si="1"/>
        <v>1341.110065851364</v>
      </c>
    </row>
    <row r="29" spans="2:9" ht="18">
      <c r="B29" s="75" t="s">
        <v>310</v>
      </c>
      <c r="C29" s="110"/>
      <c r="D29" s="111"/>
      <c r="E29" s="66">
        <f>'B13-Data for tables'!$C$31</f>
        <v>496.70743179680147</v>
      </c>
      <c r="F29" s="96">
        <f t="shared" si="0"/>
        <v>9</v>
      </c>
      <c r="G29" s="95">
        <f t="shared" si="3"/>
        <v>496.70743179680147</v>
      </c>
      <c r="H29" s="95">
        <f t="shared" ref="H29" si="8">G29*F29</f>
        <v>4470.3668861712131</v>
      </c>
    </row>
    <row r="30" spans="2:9" ht="18">
      <c r="B30" s="75" t="s">
        <v>311</v>
      </c>
      <c r="C30" s="110"/>
      <c r="D30" s="111"/>
      <c r="E30" s="66">
        <f>SUM('B13-Data for tables'!$C$34:$C$35)</f>
        <v>103.48071495766698</v>
      </c>
      <c r="F30" s="96">
        <f t="shared" si="0"/>
        <v>9</v>
      </c>
      <c r="G30" s="95">
        <f t="shared" ref="G30:G35" si="9">E30</f>
        <v>103.48071495766698</v>
      </c>
      <c r="H30" s="95">
        <f t="shared" si="1"/>
        <v>931.32643461900284</v>
      </c>
    </row>
    <row r="31" spans="2:9">
      <c r="B31" s="75" t="s">
        <v>68</v>
      </c>
      <c r="C31" s="110"/>
      <c r="D31" s="111"/>
      <c r="E31" s="66">
        <f>'B13-Data for tables'!$C$36</f>
        <v>72.43650047036688</v>
      </c>
      <c r="F31" s="96">
        <f t="shared" si="0"/>
        <v>9</v>
      </c>
      <c r="G31" s="95">
        <f t="shared" si="9"/>
        <v>72.43650047036688</v>
      </c>
      <c r="H31" s="95">
        <f>G31*F31</f>
        <v>651.92850423330196</v>
      </c>
    </row>
    <row r="32" spans="2:9">
      <c r="B32" s="75" t="s">
        <v>116</v>
      </c>
      <c r="C32" s="110"/>
      <c r="D32" s="111"/>
      <c r="E32" s="66">
        <f>'B13-Data for tables'!$C$42</f>
        <v>206.96142991533395</v>
      </c>
      <c r="F32" s="96">
        <f t="shared" si="0"/>
        <v>9</v>
      </c>
      <c r="G32" s="95">
        <f t="shared" ref="G32" si="10">E32</f>
        <v>206.96142991533395</v>
      </c>
      <c r="H32" s="95">
        <f>G32*F32</f>
        <v>1862.6528692380057</v>
      </c>
    </row>
    <row r="33" spans="2:20">
      <c r="B33" s="75" t="s">
        <v>62</v>
      </c>
      <c r="C33" s="95"/>
      <c r="D33" s="112"/>
      <c r="E33" s="64">
        <f>'B13-Data for tables'!$C$43</f>
        <v>139.69896519285041</v>
      </c>
      <c r="F33" s="96">
        <f t="shared" si="0"/>
        <v>9</v>
      </c>
      <c r="G33" s="95">
        <f t="shared" si="9"/>
        <v>139.69896519285041</v>
      </c>
      <c r="H33" s="95">
        <f>F33*G33</f>
        <v>1257.2906867356537</v>
      </c>
      <c r="I33" s="108"/>
    </row>
    <row r="34" spans="2:20">
      <c r="B34" s="75" t="s">
        <v>66</v>
      </c>
      <c r="C34" s="95"/>
      <c r="D34" s="112"/>
      <c r="E34" s="64">
        <f>'B13-Data for tables'!$C$44</f>
        <v>51.740357478833488</v>
      </c>
      <c r="F34" s="96">
        <f t="shared" si="0"/>
        <v>9</v>
      </c>
      <c r="G34" s="95">
        <f t="shared" si="9"/>
        <v>51.740357478833488</v>
      </c>
      <c r="H34" s="95">
        <f>F34*G34</f>
        <v>465.66321730950142</v>
      </c>
      <c r="I34" s="113"/>
    </row>
    <row r="35" spans="2:20" ht="18">
      <c r="B35" s="74" t="s">
        <v>179</v>
      </c>
      <c r="C35" s="114"/>
      <c r="D35" s="115"/>
      <c r="E35" s="64">
        <f>'B13-Data for tables'!$C$45</f>
        <v>310.44214487300093</v>
      </c>
      <c r="F35" s="96">
        <f>$L$5</f>
        <v>9</v>
      </c>
      <c r="G35" s="95">
        <f t="shared" si="9"/>
        <v>310.44214487300093</v>
      </c>
      <c r="H35" s="110">
        <f>F35*G35</f>
        <v>2793.9793038570083</v>
      </c>
    </row>
    <row r="36" spans="2:20" ht="6" customHeight="1">
      <c r="B36" s="76"/>
      <c r="C36" s="110"/>
      <c r="D36" s="111"/>
      <c r="E36" s="110"/>
      <c r="F36" s="116"/>
      <c r="G36" s="110"/>
      <c r="H36" s="110"/>
    </row>
    <row r="37" spans="2:20">
      <c r="B37" s="72" t="s">
        <v>2</v>
      </c>
      <c r="C37" s="117"/>
      <c r="D37" s="95"/>
      <c r="E37" s="95"/>
      <c r="F37" s="118"/>
      <c r="G37" s="95"/>
      <c r="H37" s="95"/>
      <c r="I37" s="118"/>
      <c r="J37" s="95"/>
      <c r="K37" s="95"/>
      <c r="L37" s="118"/>
      <c r="M37" s="95"/>
      <c r="N37" s="95"/>
      <c r="O37" s="119"/>
      <c r="P37" s="95"/>
      <c r="Q37" s="95"/>
      <c r="R37" s="119"/>
      <c r="S37" s="95"/>
      <c r="T37" s="95"/>
    </row>
    <row r="38" spans="2:20" ht="18">
      <c r="B38" s="41" t="s">
        <v>165</v>
      </c>
      <c r="C38" s="62"/>
      <c r="D38" s="96"/>
      <c r="E38" s="102">
        <f>'B13-Data for tables'!$D$24</f>
        <v>745.06114769520218</v>
      </c>
      <c r="F38" s="96">
        <f t="shared" ref="F38:F52" si="11">$L$5</f>
        <v>9</v>
      </c>
      <c r="G38" s="95">
        <f t="shared" ref="G38" si="12">E38</f>
        <v>745.06114769520218</v>
      </c>
      <c r="H38" s="95">
        <f t="shared" ref="H38:H47" si="13">G38*F38</f>
        <v>6705.5503292568192</v>
      </c>
      <c r="I38" s="135"/>
      <c r="J38" s="115"/>
      <c r="K38" s="95"/>
      <c r="L38" s="105"/>
      <c r="M38" s="115"/>
      <c r="N38" s="95"/>
      <c r="O38" s="105"/>
      <c r="P38" s="115"/>
      <c r="Q38" s="95"/>
      <c r="R38" s="105"/>
      <c r="S38" s="115"/>
      <c r="T38" s="95"/>
    </row>
    <row r="39" spans="2:20" ht="18">
      <c r="B39" s="41" t="s">
        <v>166</v>
      </c>
      <c r="C39" s="124"/>
      <c r="D39" s="123"/>
      <c r="E39" s="102">
        <f>'B13-Data for tables'!$D$25</f>
        <v>149.01222953904045</v>
      </c>
      <c r="F39" s="96">
        <f t="shared" si="11"/>
        <v>9</v>
      </c>
      <c r="G39" s="95">
        <f>E39</f>
        <v>149.01222953904045</v>
      </c>
      <c r="H39" s="44">
        <f>G39*F39</f>
        <v>1341.110065851364</v>
      </c>
      <c r="I39" s="135"/>
    </row>
    <row r="40" spans="2:20" ht="18">
      <c r="B40" s="41" t="s">
        <v>167</v>
      </c>
      <c r="C40" s="120"/>
      <c r="D40" s="95"/>
      <c r="E40" s="64">
        <f>'B13-Data for tables'!$D$26</f>
        <v>362.18250235183439</v>
      </c>
      <c r="F40" s="96">
        <f t="shared" si="11"/>
        <v>9</v>
      </c>
      <c r="G40" s="95">
        <f t="shared" ref="G40:G42" si="14">E40</f>
        <v>362.18250235183439</v>
      </c>
      <c r="H40" s="44">
        <f t="shared" ref="H40:H42" si="15">G40*F40</f>
        <v>3259.6425211665096</v>
      </c>
      <c r="I40" s="100"/>
      <c r="K40" s="105"/>
      <c r="N40" s="105"/>
      <c r="Q40" s="105"/>
      <c r="T40" s="105"/>
    </row>
    <row r="41" spans="2:20" ht="18">
      <c r="B41" s="41" t="s">
        <v>307</v>
      </c>
      <c r="C41" s="120"/>
      <c r="D41" s="95"/>
      <c r="E41" s="64">
        <f>'B13-Data for tables'!$D$27</f>
        <v>124.17685794920037</v>
      </c>
      <c r="F41" s="96">
        <f t="shared" si="11"/>
        <v>9</v>
      </c>
      <c r="G41" s="95">
        <f t="shared" ref="G41" si="16">E41</f>
        <v>124.17685794920037</v>
      </c>
      <c r="H41" s="44">
        <f t="shared" ref="H41" si="17">G41*F41</f>
        <v>1117.5917215428033</v>
      </c>
      <c r="I41" s="100"/>
      <c r="K41" s="105"/>
      <c r="N41" s="105"/>
      <c r="Q41" s="105"/>
      <c r="T41" s="105"/>
    </row>
    <row r="42" spans="2:20" ht="18">
      <c r="B42" s="41" t="s">
        <v>312</v>
      </c>
      <c r="C42" s="62"/>
      <c r="D42" s="101"/>
      <c r="E42" s="102">
        <f>'B13-Data for tables'!$D$28</f>
        <v>62.088428974600184</v>
      </c>
      <c r="F42" s="96">
        <f t="shared" si="11"/>
        <v>9</v>
      </c>
      <c r="G42" s="95">
        <f t="shared" si="14"/>
        <v>62.088428974600184</v>
      </c>
      <c r="H42" s="44">
        <f t="shared" si="15"/>
        <v>558.79586077140164</v>
      </c>
      <c r="I42" s="121"/>
      <c r="J42" s="115"/>
      <c r="K42" s="95"/>
      <c r="L42" s="114"/>
      <c r="M42" s="115"/>
      <c r="N42" s="95"/>
      <c r="O42" s="114"/>
      <c r="P42" s="115"/>
      <c r="Q42" s="95"/>
      <c r="R42" s="114"/>
      <c r="S42" s="115"/>
      <c r="T42" s="95"/>
    </row>
    <row r="43" spans="2:20" ht="18">
      <c r="B43" s="74" t="s">
        <v>309</v>
      </c>
      <c r="C43" s="62"/>
      <c r="D43" s="101"/>
      <c r="E43" s="102">
        <f>'B13-Data for tables'!$D$41</f>
        <v>186.26528692380055</v>
      </c>
      <c r="F43" s="96">
        <f t="shared" si="11"/>
        <v>9</v>
      </c>
      <c r="G43" s="95">
        <f t="shared" ref="G43:G52" si="18">E43</f>
        <v>186.26528692380055</v>
      </c>
      <c r="H43" s="44">
        <f t="shared" si="13"/>
        <v>1676.3875823142048</v>
      </c>
      <c r="R43" s="114"/>
      <c r="S43" s="115"/>
      <c r="T43" s="95"/>
    </row>
    <row r="44" spans="2:20">
      <c r="B44" s="74" t="s">
        <v>139</v>
      </c>
      <c r="C44" s="62"/>
      <c r="D44" s="101"/>
      <c r="E44" s="102">
        <f>'B13-Data for tables'!$D$29</f>
        <v>0</v>
      </c>
      <c r="F44" s="96">
        <f t="shared" si="11"/>
        <v>9</v>
      </c>
      <c r="G44" s="95">
        <f>E44</f>
        <v>0</v>
      </c>
      <c r="H44" s="95">
        <f t="shared" si="13"/>
        <v>0</v>
      </c>
      <c r="I44" s="65"/>
    </row>
    <row r="45" spans="2:20">
      <c r="B45" s="75" t="s">
        <v>14</v>
      </c>
      <c r="C45" s="110"/>
      <c r="D45" s="111"/>
      <c r="E45" s="66">
        <f>'B13-Data for tables'!$D$30</f>
        <v>149.01222953904045</v>
      </c>
      <c r="F45" s="96">
        <f t="shared" si="11"/>
        <v>9</v>
      </c>
      <c r="G45" s="95">
        <f t="shared" si="18"/>
        <v>149.01222953904045</v>
      </c>
      <c r="H45" s="44">
        <f t="shared" si="13"/>
        <v>1341.110065851364</v>
      </c>
    </row>
    <row r="46" spans="2:20" ht="18">
      <c r="B46" s="75" t="s">
        <v>310</v>
      </c>
      <c r="C46" s="110"/>
      <c r="D46" s="111"/>
      <c r="E46" s="66">
        <f>'B13-Data for tables'!$C$31</f>
        <v>496.70743179680147</v>
      </c>
      <c r="F46" s="96">
        <f t="shared" si="11"/>
        <v>9</v>
      </c>
      <c r="G46" s="95">
        <f>E46</f>
        <v>496.70743179680147</v>
      </c>
      <c r="H46" s="44">
        <f t="shared" ref="H46" si="19">G46*F46</f>
        <v>4470.3668861712131</v>
      </c>
    </row>
    <row r="47" spans="2:20" ht="18">
      <c r="B47" s="75" t="s">
        <v>311</v>
      </c>
      <c r="C47" s="110"/>
      <c r="D47" s="111"/>
      <c r="E47" s="66">
        <f>SUM('B13-Data for tables'!$D$34:$D$35)</f>
        <v>129.35089369708373</v>
      </c>
      <c r="F47" s="96">
        <f t="shared" si="11"/>
        <v>9</v>
      </c>
      <c r="G47" s="95">
        <f t="shared" si="18"/>
        <v>129.35089369708373</v>
      </c>
      <c r="H47" s="44">
        <f t="shared" si="13"/>
        <v>1164.1580432737537</v>
      </c>
      <c r="T47" s="116"/>
    </row>
    <row r="48" spans="2:20">
      <c r="B48" s="75" t="s">
        <v>68</v>
      </c>
      <c r="C48" s="110"/>
      <c r="D48" s="111"/>
      <c r="E48" s="66">
        <f>'B13-Data for tables'!$D$36</f>
        <v>72.43650047036688</v>
      </c>
      <c r="F48" s="96">
        <f t="shared" si="11"/>
        <v>9</v>
      </c>
      <c r="G48" s="95">
        <f t="shared" si="18"/>
        <v>72.43650047036688</v>
      </c>
      <c r="H48" s="44">
        <f>G48*F48</f>
        <v>651.92850423330196</v>
      </c>
      <c r="T48" s="116"/>
    </row>
    <row r="49" spans="2:9">
      <c r="B49" s="75" t="s">
        <v>116</v>
      </c>
      <c r="C49" s="110"/>
      <c r="D49" s="111"/>
      <c r="E49" s="66">
        <f>'B13-Data for tables'!$D$42</f>
        <v>206.96142991533395</v>
      </c>
      <c r="F49" s="96">
        <f t="shared" si="11"/>
        <v>9</v>
      </c>
      <c r="G49" s="95">
        <f t="shared" si="18"/>
        <v>206.96142991533395</v>
      </c>
      <c r="H49" s="95">
        <f>G49*F49</f>
        <v>1862.6528692380057</v>
      </c>
    </row>
    <row r="50" spans="2:9">
      <c r="B50" s="75" t="s">
        <v>62</v>
      </c>
      <c r="C50" s="95"/>
      <c r="D50" s="112"/>
      <c r="E50" s="64">
        <f>'B13-Data for tables'!$D$43</f>
        <v>139.69896519285041</v>
      </c>
      <c r="F50" s="96">
        <f t="shared" si="11"/>
        <v>9</v>
      </c>
      <c r="G50" s="95">
        <f t="shared" si="18"/>
        <v>139.69896519285041</v>
      </c>
      <c r="H50" s="44">
        <f>F50*G50</f>
        <v>1257.2906867356537</v>
      </c>
    </row>
    <row r="51" spans="2:9">
      <c r="B51" s="75" t="s">
        <v>66</v>
      </c>
      <c r="C51" s="95"/>
      <c r="D51" s="112"/>
      <c r="E51" s="64">
        <f>'B13-Data for tables'!$D$44</f>
        <v>51.740357478833488</v>
      </c>
      <c r="F51" s="96">
        <f t="shared" si="11"/>
        <v>9</v>
      </c>
      <c r="G51" s="95">
        <f t="shared" si="18"/>
        <v>51.740357478833488</v>
      </c>
      <c r="H51" s="44">
        <f>F51*G51</f>
        <v>465.66321730950142</v>
      </c>
    </row>
    <row r="52" spans="2:9" ht="18">
      <c r="B52" s="74" t="s">
        <v>179</v>
      </c>
      <c r="C52" s="114"/>
      <c r="D52" s="115"/>
      <c r="E52" s="64">
        <f>'B13-Data for tables'!$C$45</f>
        <v>310.44214487300093</v>
      </c>
      <c r="F52" s="96">
        <f t="shared" si="11"/>
        <v>9</v>
      </c>
      <c r="G52" s="95">
        <f t="shared" si="18"/>
        <v>310.44214487300093</v>
      </c>
      <c r="H52" s="45">
        <f>F52*G52</f>
        <v>2793.9793038570083</v>
      </c>
    </row>
    <row r="53" spans="2:9" ht="8.4499999999999993" customHeight="1">
      <c r="C53" s="95"/>
      <c r="D53" s="95"/>
      <c r="E53" s="105"/>
      <c r="F53" s="105"/>
      <c r="G53" s="44"/>
      <c r="H53" s="44"/>
    </row>
    <row r="54" spans="2:9">
      <c r="B54" s="72" t="s">
        <v>3</v>
      </c>
      <c r="C54" s="95"/>
      <c r="D54" s="95"/>
      <c r="E54" s="105"/>
      <c r="F54" s="122"/>
      <c r="G54" s="44"/>
      <c r="H54" s="44"/>
    </row>
    <row r="55" spans="2:9" ht="18">
      <c r="B55" s="41" t="s">
        <v>165</v>
      </c>
      <c r="C55" s="62"/>
      <c r="D55" s="123"/>
      <c r="E55" s="102">
        <f>'B13-Data for tables'!$E$24</f>
        <v>1117.5917215428033</v>
      </c>
      <c r="F55" s="96">
        <f>$L$5</f>
        <v>9</v>
      </c>
      <c r="G55" s="95">
        <f t="shared" ref="G55:G56" si="20">E55</f>
        <v>1117.5917215428033</v>
      </c>
      <c r="H55" s="44">
        <f t="shared" ref="H55:H65" si="21">G55*F55</f>
        <v>10058.32549388523</v>
      </c>
      <c r="I55" s="135"/>
    </row>
    <row r="56" spans="2:9" ht="18">
      <c r="B56" s="41" t="s">
        <v>166</v>
      </c>
      <c r="C56" s="124"/>
      <c r="D56" s="123"/>
      <c r="E56" s="102">
        <f>'B13-Data for tables'!$E$25</f>
        <v>298.02445907808089</v>
      </c>
      <c r="F56" s="96">
        <f t="shared" ref="F56:F70" si="22">$L$5</f>
        <v>9</v>
      </c>
      <c r="G56" s="95">
        <f t="shared" si="20"/>
        <v>298.02445907808089</v>
      </c>
      <c r="H56" s="44">
        <f t="shared" si="21"/>
        <v>2682.2201317027279</v>
      </c>
      <c r="I56" s="135"/>
    </row>
    <row r="57" spans="2:9" ht="18">
      <c r="B57" s="41" t="s">
        <v>167</v>
      </c>
      <c r="C57" s="104"/>
      <c r="D57" s="95"/>
      <c r="E57" s="64">
        <f>'B13-Data for tables'!$E$26</f>
        <v>362.18250235183439</v>
      </c>
      <c r="F57" s="96">
        <f t="shared" si="22"/>
        <v>9</v>
      </c>
      <c r="G57" s="95">
        <f t="shared" ref="G57:G59" si="23">E57</f>
        <v>362.18250235183439</v>
      </c>
      <c r="H57" s="44">
        <f t="shared" ref="H57:H59" si="24">G57*F57</f>
        <v>3259.6425211665096</v>
      </c>
      <c r="I57" s="133"/>
    </row>
    <row r="58" spans="2:9" ht="18">
      <c r="B58" s="41" t="s">
        <v>307</v>
      </c>
      <c r="C58" s="104"/>
      <c r="D58" s="95"/>
      <c r="E58" s="64">
        <f>'B13-Data for tables'!$E$27</f>
        <v>124.17685794920037</v>
      </c>
      <c r="F58" s="96">
        <f t="shared" si="22"/>
        <v>9</v>
      </c>
      <c r="G58" s="95">
        <f t="shared" ref="G58" si="25">E58</f>
        <v>124.17685794920037</v>
      </c>
      <c r="H58" s="44">
        <f t="shared" ref="H58" si="26">G58*F58</f>
        <v>1117.5917215428033</v>
      </c>
      <c r="I58" s="133"/>
    </row>
    <row r="59" spans="2:9" ht="18">
      <c r="B59" s="41" t="s">
        <v>312</v>
      </c>
      <c r="C59" s="62"/>
      <c r="D59" s="101"/>
      <c r="E59" s="102">
        <f>'B13-Data for tables'!$E$28</f>
        <v>62.088428974600184</v>
      </c>
      <c r="F59" s="96">
        <f t="shared" si="22"/>
        <v>9</v>
      </c>
      <c r="G59" s="95">
        <f t="shared" si="23"/>
        <v>62.088428974600184</v>
      </c>
      <c r="H59" s="44">
        <f t="shared" si="24"/>
        <v>558.79586077140164</v>
      </c>
      <c r="I59" s="133"/>
    </row>
    <row r="60" spans="2:9">
      <c r="B60" s="41" t="s">
        <v>12</v>
      </c>
      <c r="C60" s="66">
        <f>'B13-Data for tables'!$E$32</f>
        <v>51.740357478833488</v>
      </c>
      <c r="D60" s="125">
        <f>'B13-Data for tables'!$E$33</f>
        <v>1</v>
      </c>
      <c r="E60" s="110">
        <f>$C$60*$D$60</f>
        <v>51.740357478833488</v>
      </c>
      <c r="F60" s="96">
        <f t="shared" si="22"/>
        <v>9</v>
      </c>
      <c r="G60" s="95">
        <f t="shared" ref="G60:G72" si="27">E60</f>
        <v>51.740357478833488</v>
      </c>
      <c r="H60" s="45">
        <f t="shared" si="21"/>
        <v>465.66321730950142</v>
      </c>
      <c r="I60" s="67"/>
    </row>
    <row r="61" spans="2:9" ht="18">
      <c r="B61" s="74" t="s">
        <v>309</v>
      </c>
      <c r="C61" s="62"/>
      <c r="D61" s="101"/>
      <c r="E61" s="102">
        <f>'B13-Data for tables'!$E$41</f>
        <v>186.26528692380055</v>
      </c>
      <c r="F61" s="96">
        <f t="shared" si="22"/>
        <v>9</v>
      </c>
      <c r="G61" s="95">
        <f t="shared" si="27"/>
        <v>186.26528692380055</v>
      </c>
      <c r="H61" s="44">
        <f t="shared" si="21"/>
        <v>1676.3875823142048</v>
      </c>
    </row>
    <row r="62" spans="2:9">
      <c r="B62" s="74" t="s">
        <v>139</v>
      </c>
      <c r="C62" s="62"/>
      <c r="D62" s="101"/>
      <c r="E62" s="102">
        <f>'B13-Data for tables'!$E$29</f>
        <v>0</v>
      </c>
      <c r="F62" s="96">
        <f t="shared" si="22"/>
        <v>9</v>
      </c>
      <c r="G62" s="95">
        <f>E62</f>
        <v>0</v>
      </c>
      <c r="H62" s="95">
        <f t="shared" si="21"/>
        <v>0</v>
      </c>
      <c r="I62" s="65"/>
    </row>
    <row r="63" spans="2:9">
      <c r="B63" s="75" t="s">
        <v>14</v>
      </c>
      <c r="C63" s="109"/>
      <c r="D63" s="120"/>
      <c r="E63" s="66">
        <f>'B13-Data for tables'!$E$30</f>
        <v>149.01222953904045</v>
      </c>
      <c r="F63" s="96">
        <f t="shared" si="22"/>
        <v>9</v>
      </c>
      <c r="G63" s="95">
        <f t="shared" si="27"/>
        <v>149.01222953904045</v>
      </c>
      <c r="H63" s="44">
        <f t="shared" si="21"/>
        <v>1341.110065851364</v>
      </c>
    </row>
    <row r="64" spans="2:9" ht="18">
      <c r="B64" s="75" t="s">
        <v>310</v>
      </c>
      <c r="C64" s="109"/>
      <c r="D64" s="120"/>
      <c r="E64" s="66">
        <f>'B13-Data for tables'!$E$31</f>
        <v>496.70743179680147</v>
      </c>
      <c r="F64" s="96">
        <f t="shared" si="22"/>
        <v>9</v>
      </c>
      <c r="G64" s="95">
        <f t="shared" si="27"/>
        <v>496.70743179680147</v>
      </c>
      <c r="H64" s="44">
        <f t="shared" ref="H64" si="28">G64*F64</f>
        <v>4470.3668861712131</v>
      </c>
    </row>
    <row r="65" spans="2:13" ht="18">
      <c r="B65" s="75" t="s">
        <v>311</v>
      </c>
      <c r="C65" s="109"/>
      <c r="D65" s="120"/>
      <c r="E65" s="66">
        <f>SUM('B13-Data for tables'!$E$34:$E$35)</f>
        <v>155.22107243650046</v>
      </c>
      <c r="F65" s="96">
        <f t="shared" si="22"/>
        <v>9</v>
      </c>
      <c r="G65" s="95">
        <f t="shared" si="27"/>
        <v>155.22107243650046</v>
      </c>
      <c r="H65" s="44">
        <f t="shared" si="21"/>
        <v>1396.9896519285041</v>
      </c>
      <c r="I65" s="68"/>
    </row>
    <row r="66" spans="2:13">
      <c r="B66" s="75" t="s">
        <v>68</v>
      </c>
      <c r="C66" s="109"/>
      <c r="D66" s="120"/>
      <c r="E66" s="66">
        <f>'B13-Data for tables'!$E$36</f>
        <v>113.82878645343368</v>
      </c>
      <c r="F66" s="96">
        <f t="shared" si="22"/>
        <v>9</v>
      </c>
      <c r="G66" s="95">
        <f t="shared" si="27"/>
        <v>113.82878645343368</v>
      </c>
      <c r="H66" s="44">
        <f>G66*F66</f>
        <v>1024.4590780809031</v>
      </c>
      <c r="I66" s="68"/>
    </row>
    <row r="67" spans="2:13">
      <c r="B67" s="75" t="s">
        <v>116</v>
      </c>
      <c r="C67" s="110"/>
      <c r="D67" s="111"/>
      <c r="E67" s="66">
        <f>'B13-Data for tables'!$E$42</f>
        <v>206.96142991533395</v>
      </c>
      <c r="F67" s="96">
        <f t="shared" si="22"/>
        <v>9</v>
      </c>
      <c r="G67" s="95">
        <f t="shared" si="27"/>
        <v>206.96142991533395</v>
      </c>
      <c r="H67" s="95">
        <f>G67*F67</f>
        <v>1862.6528692380057</v>
      </c>
    </row>
    <row r="68" spans="2:13">
      <c r="B68" s="75" t="s">
        <v>62</v>
      </c>
      <c r="C68" s="95"/>
      <c r="D68" s="95"/>
      <c r="E68" s="64">
        <f>'B13-Data for tables'!$E$43</f>
        <v>139.69896519285041</v>
      </c>
      <c r="F68" s="96">
        <f t="shared" si="22"/>
        <v>9</v>
      </c>
      <c r="G68" s="95">
        <f t="shared" si="27"/>
        <v>139.69896519285041</v>
      </c>
      <c r="H68" s="95">
        <f>F68*G68</f>
        <v>1257.2906867356537</v>
      </c>
    </row>
    <row r="69" spans="2:13">
      <c r="B69" s="75" t="s">
        <v>66</v>
      </c>
      <c r="C69" s="95"/>
      <c r="D69" s="95"/>
      <c r="E69" s="64">
        <f>'B13-Data for tables'!$E$44</f>
        <v>51.740357478833488</v>
      </c>
      <c r="F69" s="96">
        <f t="shared" si="22"/>
        <v>9</v>
      </c>
      <c r="G69" s="95">
        <f t="shared" si="27"/>
        <v>51.740357478833488</v>
      </c>
      <c r="H69" s="95">
        <f>F69*G69</f>
        <v>465.66321730950142</v>
      </c>
      <c r="I69" s="68"/>
    </row>
    <row r="70" spans="2:13" ht="18">
      <c r="B70" s="74" t="s">
        <v>179</v>
      </c>
      <c r="C70" s="95"/>
      <c r="D70" s="95"/>
      <c r="E70" s="64">
        <f>'B13-Data for tables'!$E$45</f>
        <v>310.44214487300093</v>
      </c>
      <c r="F70" s="96">
        <f t="shared" si="22"/>
        <v>9</v>
      </c>
      <c r="G70" s="95">
        <f t="shared" si="27"/>
        <v>310.44214487300093</v>
      </c>
      <c r="H70" s="110">
        <f>F70*G70</f>
        <v>2793.9793038570083</v>
      </c>
      <c r="I70" s="68"/>
    </row>
    <row r="71" spans="2:13">
      <c r="B71" s="60" t="s">
        <v>67</v>
      </c>
      <c r="C71" s="95"/>
      <c r="D71" s="95"/>
      <c r="E71" s="105"/>
      <c r="F71" s="122"/>
      <c r="G71" s="95"/>
      <c r="H71" s="95"/>
    </row>
    <row r="72" spans="2:13">
      <c r="B72" s="61" t="s">
        <v>228</v>
      </c>
      <c r="C72" s="64">
        <f>'B13-Data for tables'!$E$37*'B13-Data for tables'!$E$38</f>
        <v>64.540921919096888</v>
      </c>
      <c r="D72" s="155">
        <f>'B13-Data for tables'!$E$4*'B13-Data for tables'!$E$39</f>
        <v>4.8499999999999996</v>
      </c>
      <c r="E72" s="44">
        <f>C72*D72</f>
        <v>313.0234713076199</v>
      </c>
      <c r="F72" s="96">
        <f>$L$5</f>
        <v>9</v>
      </c>
      <c r="G72" s="95">
        <f t="shared" si="27"/>
        <v>313.0234713076199</v>
      </c>
      <c r="H72" s="44">
        <f>F72*G72</f>
        <v>2817.2112417685789</v>
      </c>
      <c r="I72" s="68"/>
    </row>
    <row r="73" spans="2:13">
      <c r="B73" s="61" t="s">
        <v>204</v>
      </c>
      <c r="C73" s="64"/>
      <c r="D73" s="155"/>
      <c r="E73" s="44">
        <f>'B13-Data for tables'!$E$40</f>
        <v>120</v>
      </c>
      <c r="F73" s="96">
        <f>$L$5</f>
        <v>9</v>
      </c>
      <c r="G73" s="95">
        <f t="shared" ref="G73" si="29">E73</f>
        <v>120</v>
      </c>
      <c r="H73" s="44">
        <f>F73*G73</f>
        <v>1080</v>
      </c>
      <c r="I73" s="68"/>
    </row>
    <row r="74" spans="2:13" ht="8.4499999999999993" customHeight="1">
      <c r="B74" s="78"/>
      <c r="C74" s="120"/>
      <c r="D74" s="126"/>
      <c r="E74" s="44"/>
      <c r="F74" s="96"/>
      <c r="G74" s="44"/>
      <c r="H74" s="44"/>
      <c r="I74" s="69"/>
      <c r="J74" s="98"/>
    </row>
    <row r="75" spans="2:13">
      <c r="B75" s="79" t="s">
        <v>4</v>
      </c>
      <c r="C75" s="120"/>
      <c r="D75" s="95"/>
      <c r="E75" s="105"/>
      <c r="F75" s="122"/>
      <c r="G75" s="44"/>
      <c r="H75" s="44"/>
      <c r="I75" s="69"/>
      <c r="J75" s="98"/>
    </row>
    <row r="76" spans="2:13" ht="18">
      <c r="B76" s="41" t="s">
        <v>165</v>
      </c>
      <c r="C76" s="62"/>
      <c r="D76" s="127"/>
      <c r="E76" s="102">
        <f>'B13-Data for tables'!$F$24</f>
        <v>1490.1222953904044</v>
      </c>
      <c r="F76" s="96">
        <f t="shared" ref="F76:F91" si="30">$L$5</f>
        <v>9</v>
      </c>
      <c r="G76" s="95">
        <f t="shared" ref="G76:G77" si="31">E76</f>
        <v>1490.1222953904044</v>
      </c>
      <c r="H76" s="44">
        <f t="shared" ref="H76:H86" si="32">G76*F76</f>
        <v>13411.100658513638</v>
      </c>
      <c r="I76" s="133"/>
      <c r="J76" s="98"/>
    </row>
    <row r="77" spans="2:13" ht="18">
      <c r="B77" s="41" t="s">
        <v>166</v>
      </c>
      <c r="C77" s="62"/>
      <c r="D77" s="127"/>
      <c r="E77" s="102">
        <f>'B13-Data for tables'!$F$25</f>
        <v>596.04891815616179</v>
      </c>
      <c r="F77" s="96">
        <f t="shared" si="30"/>
        <v>9</v>
      </c>
      <c r="G77" s="95">
        <f t="shared" si="31"/>
        <v>596.04891815616179</v>
      </c>
      <c r="H77" s="44">
        <f t="shared" si="32"/>
        <v>5364.4402634054559</v>
      </c>
      <c r="I77" s="133"/>
      <c r="J77" s="98"/>
      <c r="M77" s="68"/>
    </row>
    <row r="78" spans="2:13" ht="18">
      <c r="B78" s="41" t="s">
        <v>167</v>
      </c>
      <c r="C78" s="120"/>
      <c r="D78" s="95"/>
      <c r="E78" s="64">
        <f>'B13-Data for tables'!$F$26</f>
        <v>362.18250235183439</v>
      </c>
      <c r="F78" s="96">
        <f t="shared" si="30"/>
        <v>9</v>
      </c>
      <c r="G78" s="95">
        <f t="shared" ref="G78:G79" si="33">E78</f>
        <v>362.18250235183439</v>
      </c>
      <c r="H78" s="44">
        <f t="shared" ref="H78:H79" si="34">G78*F78</f>
        <v>3259.6425211665096</v>
      </c>
      <c r="I78" s="136"/>
      <c r="J78" s="98"/>
    </row>
    <row r="79" spans="2:13" ht="18">
      <c r="B79" s="41" t="s">
        <v>307</v>
      </c>
      <c r="C79" s="120"/>
      <c r="D79" s="95"/>
      <c r="E79" s="64">
        <f>'B13-Data for tables'!$F$27</f>
        <v>124.17685794920037</v>
      </c>
      <c r="F79" s="96">
        <f t="shared" si="30"/>
        <v>9</v>
      </c>
      <c r="G79" s="95">
        <f t="shared" si="33"/>
        <v>124.17685794920037</v>
      </c>
      <c r="H79" s="44">
        <f t="shared" si="34"/>
        <v>1117.5917215428033</v>
      </c>
      <c r="I79" s="136"/>
      <c r="J79" s="98"/>
    </row>
    <row r="80" spans="2:13" ht="18">
      <c r="B80" s="41" t="s">
        <v>312</v>
      </c>
      <c r="C80" s="62"/>
      <c r="D80" s="101"/>
      <c r="E80" s="102">
        <f>'B13-Data for tables'!$F$28</f>
        <v>62.088428974600184</v>
      </c>
      <c r="F80" s="96">
        <f t="shared" si="30"/>
        <v>9</v>
      </c>
      <c r="G80" s="95">
        <f t="shared" ref="G80" si="35">E80</f>
        <v>62.088428974600184</v>
      </c>
      <c r="H80" s="44">
        <f t="shared" ref="H80" si="36">G80*F80</f>
        <v>558.79586077140164</v>
      </c>
      <c r="I80" s="136"/>
      <c r="J80" s="98"/>
    </row>
    <row r="81" spans="2:10">
      <c r="B81" s="41" t="s">
        <v>12</v>
      </c>
      <c r="C81" s="66">
        <f>'B13-Data for tables'!$F$32</f>
        <v>51.740357478833488</v>
      </c>
      <c r="D81" s="125">
        <f>'B13-Data for tables'!$F$33</f>
        <v>1</v>
      </c>
      <c r="E81" s="110">
        <f>$C$81*$D$81</f>
        <v>51.740357478833488</v>
      </c>
      <c r="F81" s="96">
        <f t="shared" si="30"/>
        <v>9</v>
      </c>
      <c r="G81" s="95">
        <f t="shared" ref="G81:G93" si="37">E81</f>
        <v>51.740357478833488</v>
      </c>
      <c r="H81" s="45">
        <f t="shared" si="32"/>
        <v>465.66321730950142</v>
      </c>
      <c r="I81" s="69"/>
      <c r="J81" s="98"/>
    </row>
    <row r="82" spans="2:10" ht="18">
      <c r="B82" s="74" t="s">
        <v>309</v>
      </c>
      <c r="C82" s="62"/>
      <c r="D82" s="101"/>
      <c r="E82" s="102">
        <f>'B13-Data for tables'!$F$41</f>
        <v>186.26528692380055</v>
      </c>
      <c r="F82" s="96">
        <f t="shared" si="30"/>
        <v>9</v>
      </c>
      <c r="G82" s="95">
        <f t="shared" si="37"/>
        <v>186.26528692380055</v>
      </c>
      <c r="H82" s="44">
        <f t="shared" si="32"/>
        <v>1676.3875823142048</v>
      </c>
      <c r="I82" s="70"/>
      <c r="J82" s="98"/>
    </row>
    <row r="83" spans="2:10">
      <c r="B83" s="74" t="s">
        <v>139</v>
      </c>
      <c r="C83" s="62"/>
      <c r="D83" s="101"/>
      <c r="E83" s="66">
        <f>'B13-Data for tables'!$F$29</f>
        <v>0</v>
      </c>
      <c r="F83" s="96">
        <f t="shared" si="30"/>
        <v>9</v>
      </c>
      <c r="G83" s="95">
        <f t="shared" ref="G83" si="38">E83</f>
        <v>0</v>
      </c>
      <c r="H83" s="44">
        <f t="shared" ref="H83" si="39">G83*F83</f>
        <v>0</v>
      </c>
      <c r="I83" s="70"/>
      <c r="J83" s="98"/>
    </row>
    <row r="84" spans="2:10">
      <c r="B84" s="75" t="s">
        <v>14</v>
      </c>
      <c r="C84" s="109"/>
      <c r="D84" s="109"/>
      <c r="E84" s="66">
        <f>'B13-Data for tables'!$F$30</f>
        <v>149.01222953904045</v>
      </c>
      <c r="F84" s="96">
        <f t="shared" si="30"/>
        <v>9</v>
      </c>
      <c r="G84" s="95">
        <f t="shared" si="37"/>
        <v>149.01222953904045</v>
      </c>
      <c r="H84" s="44">
        <f t="shared" si="32"/>
        <v>1341.110065851364</v>
      </c>
      <c r="I84" s="69"/>
      <c r="J84" s="98"/>
    </row>
    <row r="85" spans="2:10" ht="18">
      <c r="B85" s="75" t="s">
        <v>310</v>
      </c>
      <c r="C85" s="109"/>
      <c r="D85" s="109"/>
      <c r="E85" s="66">
        <f>'B13-Data for tables'!$F$31</f>
        <v>496.70743179680147</v>
      </c>
      <c r="F85" s="96">
        <f t="shared" si="30"/>
        <v>9</v>
      </c>
      <c r="G85" s="95">
        <f t="shared" si="37"/>
        <v>496.70743179680147</v>
      </c>
      <c r="H85" s="44">
        <f t="shared" ref="H85" si="40">G85*F85</f>
        <v>4470.3668861712131</v>
      </c>
      <c r="I85" s="69"/>
      <c r="J85" s="98"/>
    </row>
    <row r="86" spans="2:10" ht="18">
      <c r="B86" s="75" t="s">
        <v>311</v>
      </c>
      <c r="C86" s="109"/>
      <c r="D86" s="109"/>
      <c r="E86" s="66">
        <f>SUM('B13-Data for tables'!$F$34:$F$35)</f>
        <v>175.91721542803384</v>
      </c>
      <c r="F86" s="96">
        <f t="shared" si="30"/>
        <v>9</v>
      </c>
      <c r="G86" s="95">
        <f t="shared" si="37"/>
        <v>175.91721542803384</v>
      </c>
      <c r="H86" s="44">
        <f t="shared" si="32"/>
        <v>1583.2549388523046</v>
      </c>
      <c r="J86" s="98"/>
    </row>
    <row r="87" spans="2:10">
      <c r="B87" s="75" t="s">
        <v>68</v>
      </c>
      <c r="C87" s="109"/>
      <c r="D87" s="109"/>
      <c r="E87" s="66">
        <f>'B13-Data for tables'!$F$36</f>
        <v>134.52492944496706</v>
      </c>
      <c r="F87" s="96">
        <f t="shared" si="30"/>
        <v>9</v>
      </c>
      <c r="G87" s="95">
        <f t="shared" si="37"/>
        <v>134.52492944496706</v>
      </c>
      <c r="H87" s="44">
        <f>G87*F87</f>
        <v>1210.7243650047035</v>
      </c>
      <c r="J87" s="98"/>
    </row>
    <row r="88" spans="2:10">
      <c r="B88" s="75" t="s">
        <v>116</v>
      </c>
      <c r="C88" s="110"/>
      <c r="D88" s="111"/>
      <c r="E88" s="66">
        <f>'B13-Data for tables'!$F$42</f>
        <v>206.96142991533395</v>
      </c>
      <c r="F88" s="96">
        <f t="shared" si="30"/>
        <v>9</v>
      </c>
      <c r="G88" s="95">
        <f t="shared" si="37"/>
        <v>206.96142991533395</v>
      </c>
      <c r="H88" s="95">
        <f>G88*F88</f>
        <v>1862.6528692380057</v>
      </c>
    </row>
    <row r="89" spans="2:10">
      <c r="B89" s="75" t="s">
        <v>62</v>
      </c>
      <c r="C89" s="109"/>
      <c r="D89" s="109"/>
      <c r="E89" s="64">
        <f>'B13-Data for tables'!$F$43</f>
        <v>139.69896519285041</v>
      </c>
      <c r="F89" s="96">
        <f t="shared" si="30"/>
        <v>9</v>
      </c>
      <c r="G89" s="95">
        <f t="shared" si="37"/>
        <v>139.69896519285041</v>
      </c>
      <c r="H89" s="44">
        <f>F89*G89</f>
        <v>1257.2906867356537</v>
      </c>
    </row>
    <row r="90" spans="2:10">
      <c r="B90" s="75" t="s">
        <v>66</v>
      </c>
      <c r="C90" s="109"/>
      <c r="D90" s="109"/>
      <c r="E90" s="64">
        <f>'B13-Data for tables'!$F$44</f>
        <v>51.740357478833488</v>
      </c>
      <c r="F90" s="96">
        <f t="shared" si="30"/>
        <v>9</v>
      </c>
      <c r="G90" s="95">
        <f t="shared" si="37"/>
        <v>51.740357478833488</v>
      </c>
      <c r="H90" s="44">
        <f>F90*G90</f>
        <v>465.66321730950142</v>
      </c>
    </row>
    <row r="91" spans="2:10" ht="18">
      <c r="B91" s="74" t="s">
        <v>179</v>
      </c>
      <c r="C91" s="109"/>
      <c r="D91" s="109"/>
      <c r="E91" s="64">
        <f>'B13-Data for tables'!$F$45</f>
        <v>310.44214487300093</v>
      </c>
      <c r="F91" s="96">
        <f t="shared" si="30"/>
        <v>9</v>
      </c>
      <c r="G91" s="95">
        <f t="shared" si="37"/>
        <v>310.44214487300093</v>
      </c>
      <c r="H91" s="45">
        <f>F91*G91</f>
        <v>2793.9793038570083</v>
      </c>
    </row>
    <row r="92" spans="2:10">
      <c r="B92" s="60" t="s">
        <v>67</v>
      </c>
      <c r="C92" s="109"/>
      <c r="D92" s="102"/>
      <c r="E92" s="105"/>
      <c r="F92" s="122"/>
      <c r="G92" s="44"/>
      <c r="H92" s="44"/>
    </row>
    <row r="93" spans="2:10">
      <c r="B93" s="61" t="s">
        <v>29</v>
      </c>
      <c r="C93" s="64">
        <f>'B13-Data for tables'!$F$37*'B13-Data for tables'!$F$38</f>
        <v>64.540921919096888</v>
      </c>
      <c r="D93" s="155">
        <f>'B13-Data for tables'!$F$4*'B13-Data for tables'!$F$39</f>
        <v>11.64</v>
      </c>
      <c r="E93" s="44">
        <f>C93*D93</f>
        <v>751.25633113828781</v>
      </c>
      <c r="F93" s="96">
        <f>$L$5</f>
        <v>9</v>
      </c>
      <c r="G93" s="95">
        <f t="shared" si="37"/>
        <v>751.25633113828781</v>
      </c>
      <c r="H93" s="44">
        <f>F93*G93</f>
        <v>6761.3069802445898</v>
      </c>
    </row>
    <row r="94" spans="2:10">
      <c r="B94" s="296" t="s">
        <v>204</v>
      </c>
      <c r="C94" s="297"/>
      <c r="D94" s="298"/>
      <c r="E94" s="299">
        <f>'B13-Data for tables'!$F$40</f>
        <v>120</v>
      </c>
      <c r="F94" s="300">
        <f>$L$5</f>
        <v>9</v>
      </c>
      <c r="G94" s="301">
        <f t="shared" ref="G94" si="41">E94</f>
        <v>120</v>
      </c>
      <c r="H94" s="299">
        <f>F94*G94</f>
        <v>1080</v>
      </c>
    </row>
    <row r="95" spans="2:10">
      <c r="B95" s="381" t="s">
        <v>122</v>
      </c>
      <c r="C95" s="128"/>
      <c r="G95" s="84"/>
    </row>
    <row r="96" spans="2:10">
      <c r="B96" s="57" t="s">
        <v>313</v>
      </c>
      <c r="C96" s="128"/>
      <c r="G96" s="84"/>
    </row>
    <row r="97" spans="2:7">
      <c r="B97" s="57" t="s">
        <v>314</v>
      </c>
      <c r="C97" s="128"/>
      <c r="G97" s="84"/>
    </row>
    <row r="98" spans="2:7">
      <c r="B98" s="57" t="s">
        <v>377</v>
      </c>
      <c r="G98" s="84"/>
    </row>
    <row r="99" spans="2:7">
      <c r="B99" s="57" t="s">
        <v>315</v>
      </c>
      <c r="G99" s="84"/>
    </row>
    <row r="100" spans="2:7">
      <c r="B100" s="57" t="s">
        <v>316</v>
      </c>
      <c r="G100" s="84"/>
    </row>
    <row r="101" spans="2:7">
      <c r="B101" s="57" t="s">
        <v>317</v>
      </c>
      <c r="G101" s="84"/>
    </row>
    <row r="102" spans="2:7">
      <c r="B102" s="57" t="s">
        <v>378</v>
      </c>
      <c r="G102" s="84"/>
    </row>
    <row r="103" spans="2:7">
      <c r="B103" s="57" t="s">
        <v>318</v>
      </c>
      <c r="G103" s="84"/>
    </row>
    <row r="104" spans="2:7">
      <c r="B104" s="57" t="s">
        <v>181</v>
      </c>
      <c r="G104" s="84"/>
    </row>
    <row r="105" spans="2:7">
      <c r="B105" s="57" t="s">
        <v>319</v>
      </c>
      <c r="G105" s="84"/>
    </row>
    <row r="106" spans="2:7">
      <c r="B106" s="57"/>
    </row>
  </sheetData>
  <protectedRanges>
    <protectedRange sqref="C5:E94" name="Range2"/>
    <protectedRange sqref="L4:L6" name="Acres"/>
  </protectedRanges>
  <mergeCells count="1">
    <mergeCell ref="B2:H2"/>
  </mergeCells>
  <phoneticPr fontId="21" type="noConversion"/>
  <pageMargins left="0.7" right="0.7" top="0.75" bottom="0.75" header="0.3" footer="0.3"/>
  <pageSetup orientation="portrait"/>
  <ignoredErrors>
    <ignoredError sqref="C12 L6 C65:D66 E88 E28:E29 C81:D81 E9:E10 C60:D61 C82:E82 E83 C68:D69 C89:E90 C63:E63 C84:E84 C70:D71 C91:E92 E65:E69 E6:E8 E16:E19 E93 E11:E14 C14 E23:E24 E30:E37 E47:E52 E43 E45 E40:E42 E46 E44 E57:E59 C64:D64 E70 C80:D80 C86:E87 C85:D85" unlocked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B2:L31"/>
  <sheetViews>
    <sheetView workbookViewId="0">
      <selection activeCell="B3" sqref="B3"/>
    </sheetView>
  </sheetViews>
  <sheetFormatPr defaultColWidth="9.140625" defaultRowHeight="15"/>
  <cols>
    <col min="1" max="1" width="6.7109375" style="42" customWidth="1"/>
    <col min="2" max="2" width="44.7109375" style="42" customWidth="1"/>
    <col min="3" max="3" width="13.42578125" style="42" customWidth="1"/>
    <col min="4" max="4" width="12.7109375" style="42" customWidth="1"/>
    <col min="5" max="5" width="13.140625" style="42" customWidth="1"/>
    <col min="6" max="6" width="12.85546875" style="42" customWidth="1"/>
    <col min="7" max="8" width="14.42578125" style="42" customWidth="1"/>
    <col min="9" max="9" width="4.42578125" style="42" customWidth="1"/>
    <col min="10" max="10" width="10.140625" style="42" customWidth="1"/>
    <col min="11" max="11" width="10.7109375" style="42" customWidth="1"/>
    <col min="12" max="12" width="3.7109375" style="42" customWidth="1"/>
    <col min="13" max="16384" width="9.140625" style="42"/>
  </cols>
  <sheetData>
    <row r="2" spans="2:12" ht="39" customHeight="1">
      <c r="B2" s="490" t="s">
        <v>394</v>
      </c>
      <c r="C2" s="490"/>
      <c r="D2" s="490"/>
      <c r="E2" s="490"/>
      <c r="F2" s="490"/>
      <c r="G2" s="490"/>
      <c r="H2" s="490"/>
    </row>
    <row r="3" spans="2:12" ht="29.25">
      <c r="B3" s="71"/>
      <c r="C3" s="93" t="s">
        <v>32</v>
      </c>
      <c r="D3" s="93" t="s">
        <v>30</v>
      </c>
      <c r="E3" s="93" t="s">
        <v>33</v>
      </c>
      <c r="F3" s="93" t="s">
        <v>31</v>
      </c>
      <c r="G3" s="94" t="s">
        <v>34</v>
      </c>
      <c r="H3" s="94" t="s">
        <v>35</v>
      </c>
    </row>
    <row r="4" spans="2:12" ht="18">
      <c r="B4" s="41" t="s">
        <v>172</v>
      </c>
      <c r="C4" s="62"/>
      <c r="D4" s="127"/>
      <c r="E4" s="102">
        <f>'B13-Data for tables'!$G$24</f>
        <v>1303.8570084666039</v>
      </c>
      <c r="F4" s="96">
        <f>$L$4</f>
        <v>9</v>
      </c>
      <c r="G4" s="44">
        <f>E4</f>
        <v>1303.8570084666039</v>
      </c>
      <c r="H4" s="44">
        <f t="shared" ref="H4:H14" si="0">G4*F4</f>
        <v>11734.713076199436</v>
      </c>
      <c r="J4" s="68" t="s">
        <v>60</v>
      </c>
      <c r="L4" s="151">
        <v>9</v>
      </c>
    </row>
    <row r="5" spans="2:12" ht="18">
      <c r="B5" s="41" t="s">
        <v>173</v>
      </c>
      <c r="C5" s="62"/>
      <c r="D5" s="127"/>
      <c r="E5" s="102">
        <f>'B13-Data for tables'!$G$25</f>
        <v>596.04891815616179</v>
      </c>
      <c r="F5" s="96">
        <f t="shared" ref="F5:F22" si="1">$L$4</f>
        <v>9</v>
      </c>
      <c r="G5" s="44">
        <f>E5</f>
        <v>596.04891815616179</v>
      </c>
      <c r="H5" s="44">
        <f t="shared" si="0"/>
        <v>5364.4402634054559</v>
      </c>
      <c r="L5" s="129"/>
    </row>
    <row r="6" spans="2:12" ht="18">
      <c r="B6" s="41" t="s">
        <v>174</v>
      </c>
      <c r="C6" s="104"/>
      <c r="D6" s="127"/>
      <c r="E6" s="64">
        <f>'B13-Data for tables'!$G$26</f>
        <v>362.18250235183439</v>
      </c>
      <c r="F6" s="96">
        <f t="shared" si="1"/>
        <v>9</v>
      </c>
      <c r="G6" s="44">
        <f t="shared" ref="G6:G8" si="2">E6</f>
        <v>362.18250235183439</v>
      </c>
      <c r="H6" s="44">
        <f t="shared" ref="H6:H8" si="3">G6*F6</f>
        <v>3259.6425211665096</v>
      </c>
    </row>
    <row r="7" spans="2:12" ht="18">
      <c r="B7" s="41" t="s">
        <v>320</v>
      </c>
      <c r="C7" s="104"/>
      <c r="D7" s="127"/>
      <c r="E7" s="64">
        <f>'B13-Data for tables'!$G$27</f>
        <v>124.17685794920037</v>
      </c>
      <c r="F7" s="96">
        <f t="shared" si="1"/>
        <v>9</v>
      </c>
      <c r="G7" s="44">
        <f t="shared" si="2"/>
        <v>124.17685794920037</v>
      </c>
      <c r="H7" s="44">
        <f t="shared" si="3"/>
        <v>1117.5917215428033</v>
      </c>
    </row>
    <row r="8" spans="2:12" ht="18">
      <c r="B8" s="41" t="s">
        <v>175</v>
      </c>
      <c r="C8" s="62"/>
      <c r="D8" s="101"/>
      <c r="E8" s="102">
        <f>'B13-Data for tables'!$G$28</f>
        <v>256.63217309501408</v>
      </c>
      <c r="F8" s="96">
        <f t="shared" si="1"/>
        <v>9</v>
      </c>
      <c r="G8" s="44">
        <f t="shared" si="2"/>
        <v>256.63217309501408</v>
      </c>
      <c r="H8" s="44">
        <f t="shared" si="3"/>
        <v>2309.6895578551266</v>
      </c>
    </row>
    <row r="9" spans="2:12">
      <c r="B9" s="41" t="s">
        <v>12</v>
      </c>
      <c r="C9" s="66">
        <f>'B13-Data for tables'!$G$32</f>
        <v>51.740357478833488</v>
      </c>
      <c r="D9" s="125">
        <f>'B13-Data for tables'!$G$33</f>
        <v>1</v>
      </c>
      <c r="E9" s="110">
        <f>$C$9*$D$9</f>
        <v>51.740357478833488</v>
      </c>
      <c r="F9" s="96">
        <f t="shared" si="1"/>
        <v>9</v>
      </c>
      <c r="G9" s="45">
        <f>E9</f>
        <v>51.740357478833488</v>
      </c>
      <c r="H9" s="45">
        <f t="shared" si="0"/>
        <v>465.66321730950142</v>
      </c>
    </row>
    <row r="10" spans="2:12" ht="18">
      <c r="B10" s="74" t="s">
        <v>176</v>
      </c>
      <c r="C10" s="62"/>
      <c r="D10" s="101"/>
      <c r="E10" s="102">
        <f>'B13-Data for tables'!$G$41</f>
        <v>186.26528692380055</v>
      </c>
      <c r="F10" s="96">
        <f t="shared" si="1"/>
        <v>9</v>
      </c>
      <c r="G10" s="45">
        <f t="shared" ref="G10:G21" si="4">E10</f>
        <v>186.26528692380055</v>
      </c>
      <c r="H10" s="44">
        <f t="shared" si="0"/>
        <v>1676.3875823142048</v>
      </c>
    </row>
    <row r="11" spans="2:12">
      <c r="B11" s="74" t="s">
        <v>139</v>
      </c>
      <c r="C11" s="62"/>
      <c r="D11" s="101"/>
      <c r="E11" s="102">
        <f>'B13-Data for tables'!$G$29</f>
        <v>0</v>
      </c>
      <c r="F11" s="96">
        <f t="shared" si="1"/>
        <v>9</v>
      </c>
      <c r="G11" s="45">
        <f t="shared" ref="G11" si="5">E11</f>
        <v>0</v>
      </c>
      <c r="H11" s="44">
        <f t="shared" ref="H11" si="6">G11*F11</f>
        <v>0</v>
      </c>
    </row>
    <row r="12" spans="2:12">
      <c r="B12" s="75" t="s">
        <v>14</v>
      </c>
      <c r="C12" s="104"/>
      <c r="D12" s="95"/>
      <c r="E12" s="66">
        <f>'B13-Data for tables'!$G$30</f>
        <v>149.01222953904045</v>
      </c>
      <c r="F12" s="96">
        <f t="shared" si="1"/>
        <v>9</v>
      </c>
      <c r="G12" s="45">
        <f t="shared" si="4"/>
        <v>149.01222953904045</v>
      </c>
      <c r="H12" s="44">
        <f t="shared" si="0"/>
        <v>1341.110065851364</v>
      </c>
    </row>
    <row r="13" spans="2:12" ht="18">
      <c r="B13" s="75" t="s">
        <v>177</v>
      </c>
      <c r="C13" s="104"/>
      <c r="D13" s="95"/>
      <c r="E13" s="66">
        <f>'B13-Data for tables'!$G$31</f>
        <v>496.70743179680147</v>
      </c>
      <c r="F13" s="96">
        <f t="shared" si="1"/>
        <v>9</v>
      </c>
      <c r="G13" s="45">
        <f t="shared" si="4"/>
        <v>496.70743179680147</v>
      </c>
      <c r="H13" s="44">
        <f t="shared" ref="H13" si="7">G13*F13</f>
        <v>4470.3668861712131</v>
      </c>
    </row>
    <row r="14" spans="2:12" ht="18">
      <c r="B14" s="75" t="s">
        <v>178</v>
      </c>
      <c r="C14" s="104"/>
      <c r="D14" s="95"/>
      <c r="E14" s="66">
        <f>SUM('B13-Data for tables'!$G$34:$G$35)</f>
        <v>196.61335841956725</v>
      </c>
      <c r="F14" s="96">
        <f t="shared" si="1"/>
        <v>9</v>
      </c>
      <c r="G14" s="45">
        <f t="shared" si="4"/>
        <v>196.61335841956725</v>
      </c>
      <c r="H14" s="44">
        <f t="shared" si="0"/>
        <v>1769.5202257761052</v>
      </c>
    </row>
    <row r="15" spans="2:12">
      <c r="B15" s="75" t="s">
        <v>68</v>
      </c>
      <c r="C15" s="104"/>
      <c r="D15" s="95"/>
      <c r="E15" s="66">
        <f>'B13-Data for tables'!$G$36</f>
        <v>144.87300094073376</v>
      </c>
      <c r="F15" s="96">
        <f t="shared" si="1"/>
        <v>9</v>
      </c>
      <c r="G15" s="45">
        <f t="shared" si="4"/>
        <v>144.87300094073376</v>
      </c>
      <c r="H15" s="44">
        <f>G15*F15</f>
        <v>1303.8570084666039</v>
      </c>
    </row>
    <row r="16" spans="2:12">
      <c r="B16" s="75" t="s">
        <v>116</v>
      </c>
      <c r="C16" s="110"/>
      <c r="D16" s="111"/>
      <c r="E16" s="66">
        <f>'B13-Data for tables'!$G$42</f>
        <v>206.96142991533395</v>
      </c>
      <c r="F16" s="96">
        <f t="shared" si="1"/>
        <v>9</v>
      </c>
      <c r="G16" s="95">
        <f t="shared" si="4"/>
        <v>206.96142991533395</v>
      </c>
      <c r="H16" s="95">
        <f>G16*F16</f>
        <v>1862.6528692380057</v>
      </c>
    </row>
    <row r="17" spans="2:8">
      <c r="B17" s="75" t="s">
        <v>62</v>
      </c>
      <c r="C17" s="104"/>
      <c r="D17" s="95"/>
      <c r="E17" s="64">
        <f>'B13-Data for tables'!$G$43</f>
        <v>139.69896519285041</v>
      </c>
      <c r="F17" s="96">
        <f t="shared" si="1"/>
        <v>9</v>
      </c>
      <c r="G17" s="45">
        <f t="shared" si="4"/>
        <v>139.69896519285041</v>
      </c>
      <c r="H17" s="44">
        <f>F17*G17</f>
        <v>1257.2906867356537</v>
      </c>
    </row>
    <row r="18" spans="2:8">
      <c r="B18" s="75" t="s">
        <v>66</v>
      </c>
      <c r="C18" s="104"/>
      <c r="D18" s="95"/>
      <c r="E18" s="64">
        <f>'B13-Data for tables'!$G$44</f>
        <v>51.740357478833488</v>
      </c>
      <c r="F18" s="96">
        <f t="shared" si="1"/>
        <v>9</v>
      </c>
      <c r="G18" s="45">
        <f t="shared" si="4"/>
        <v>51.740357478833488</v>
      </c>
      <c r="H18" s="44">
        <f>F18*G18</f>
        <v>465.66321730950142</v>
      </c>
    </row>
    <row r="19" spans="2:8" ht="18">
      <c r="B19" s="74" t="s">
        <v>321</v>
      </c>
      <c r="C19" s="104"/>
      <c r="D19" s="95"/>
      <c r="E19" s="64">
        <f>'B13-Data for tables'!$G$45</f>
        <v>310.44214487300093</v>
      </c>
      <c r="F19" s="96">
        <f t="shared" si="1"/>
        <v>9</v>
      </c>
      <c r="G19" s="45">
        <f t="shared" si="4"/>
        <v>310.44214487300093</v>
      </c>
      <c r="H19" s="45">
        <f>F19*G19</f>
        <v>2793.9793038570083</v>
      </c>
    </row>
    <row r="20" spans="2:8">
      <c r="B20" s="60" t="s">
        <v>67</v>
      </c>
      <c r="C20" s="104"/>
      <c r="D20" s="122"/>
      <c r="E20" s="95"/>
      <c r="F20" s="96"/>
      <c r="G20" s="45"/>
      <c r="H20" s="44"/>
    </row>
    <row r="21" spans="2:8">
      <c r="B21" s="77" t="s">
        <v>29</v>
      </c>
      <c r="C21" s="66">
        <f>'B13-Data for tables'!$G$37*'B13-Data for tables'!$G$38</f>
        <v>64.540921919096888</v>
      </c>
      <c r="D21" s="415">
        <f>'B13-Data for tables'!$G$4*'B13-Data for tables'!$G$39</f>
        <v>44.62</v>
      </c>
      <c r="E21" s="45">
        <f>C21*D21</f>
        <v>2879.8159360301029</v>
      </c>
      <c r="F21" s="276">
        <f t="shared" si="1"/>
        <v>9</v>
      </c>
      <c r="G21" s="45">
        <f t="shared" si="4"/>
        <v>2879.8159360301029</v>
      </c>
      <c r="H21" s="45">
        <f>F21*G21</f>
        <v>25918.343424270926</v>
      </c>
    </row>
    <row r="22" spans="2:8">
      <c r="B22" s="277" t="s">
        <v>204</v>
      </c>
      <c r="C22" s="278"/>
      <c r="D22" s="279"/>
      <c r="E22" s="280">
        <f>'B13-Data for tables'!$G$40</f>
        <v>120</v>
      </c>
      <c r="F22" s="281">
        <f t="shared" si="1"/>
        <v>9</v>
      </c>
      <c r="G22" s="280">
        <f t="shared" ref="G22" si="8">E22</f>
        <v>120</v>
      </c>
      <c r="H22" s="280">
        <f>F22*G22</f>
        <v>1080</v>
      </c>
    </row>
    <row r="23" spans="2:8">
      <c r="B23" s="381" t="s">
        <v>122</v>
      </c>
      <c r="G23" s="100"/>
    </row>
    <row r="24" spans="2:8">
      <c r="B24" s="57" t="s">
        <v>375</v>
      </c>
      <c r="G24" s="100"/>
    </row>
    <row r="25" spans="2:8">
      <c r="B25" s="57" t="s">
        <v>322</v>
      </c>
      <c r="G25" s="100"/>
    </row>
    <row r="26" spans="2:8">
      <c r="B26" s="57" t="s">
        <v>323</v>
      </c>
      <c r="E26" s="130"/>
    </row>
    <row r="27" spans="2:8">
      <c r="B27" s="57" t="s">
        <v>324</v>
      </c>
    </row>
    <row r="28" spans="2:8">
      <c r="B28" s="57" t="s">
        <v>180</v>
      </c>
    </row>
    <row r="29" spans="2:8">
      <c r="B29" s="57" t="s">
        <v>376</v>
      </c>
    </row>
    <row r="30" spans="2:8">
      <c r="B30" s="57" t="s">
        <v>325</v>
      </c>
    </row>
    <row r="31" spans="2:8">
      <c r="B31" s="57" t="s">
        <v>326</v>
      </c>
    </row>
  </sheetData>
  <protectedRanges>
    <protectedRange sqref="C17:E18 C19:E22 C4:E15" name="Range2"/>
    <protectedRange sqref="L4" name="Acres"/>
    <protectedRange sqref="C16:E16" name="Range2_1"/>
  </protectedRanges>
  <mergeCells count="1">
    <mergeCell ref="B2:H2"/>
  </mergeCells>
  <phoneticPr fontId="21" type="noConversion"/>
  <pageMargins left="0.7" right="0.7" top="0.75" bottom="0.75" header="0.3" footer="0.3"/>
  <pageSetup orientation="portrait"/>
  <ignoredErrors>
    <ignoredError sqref="C19:E20 E16 E21 C9:D9 C12:D12 C10:D10 C17:E18 C8:D8 C14:E15 C13:D13 E10 E12 E6:E9 E13 E11 C21"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Intro</vt:lpstr>
      <vt:lpstr>B2-Cider Apple Budget</vt:lpstr>
      <vt:lpstr>B3-Price &amp; Yield Analysis</vt:lpstr>
      <vt:lpstr>B4-Capital Req.</vt:lpstr>
      <vt:lpstr>B5-Mach. Equip. &amp; Build. Req.</vt:lpstr>
      <vt:lpstr>B6&amp;B7-Int. Costs &amp; Depr.</vt:lpstr>
      <vt:lpstr>B8-Breakeven Return</vt:lpstr>
      <vt:lpstr>B9-Estab Costs</vt:lpstr>
      <vt:lpstr>B10-Full Prod Costs</vt:lpstr>
      <vt:lpstr>B11-Salv Value &amp; Dep Costs</vt:lpstr>
      <vt:lpstr>B12-Amort Calc</vt:lpstr>
      <vt:lpstr>B13-Data for tables</vt:lpstr>
      <vt:lpstr>B14-NPV&amp;Payback Pd</vt:lpstr>
      <vt:lpstr>'B13-Data for tables'!Print_Area</vt:lpstr>
      <vt:lpstr>'B2-Cider Apple Budget'!Print_Area</vt:lpstr>
      <vt:lpstr>'B5-Mach. Equip. &amp; Build. Req.'!Print_Area</vt:lpstr>
      <vt:lpstr>Intro!Print_Area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2015-05-05T17:09:33Z</dcterms:created>
  <dcterms:modified xsi:type="dcterms:W3CDTF">2016-09-12T17:48:14Z</dcterms:modified>
</cp:coreProperties>
</file>