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autoCompressPictures="0" defaultThemeVersion="124226"/>
  <mc:AlternateContent xmlns:mc="http://schemas.openxmlformats.org/markup-compatibility/2006">
    <mc:Choice Requires="x15">
      <x15ac:absPath xmlns:x15ac="http://schemas.microsoft.com/office/spreadsheetml/2010/11/ac" url="https://emailwsu-my.sharepoint.com/personal/sgalinato_wsu_edu/Documents/Projects-Ongoing/Enterprise Budgets/Crops/2026 Sweet cherries/2026 Sweet Cherry Enterprise Budgets-Final/"/>
    </mc:Choice>
  </mc:AlternateContent>
  <xr:revisionPtr revIDLastSave="0" documentId="8_{E41E4F47-8A7D-4A7A-9F97-2F9B1E40BE5B}" xr6:coauthVersionLast="47" xr6:coauthVersionMax="47" xr10:uidLastSave="{00000000-0000-0000-0000-000000000000}"/>
  <bookViews>
    <workbookView xWindow="-120" yWindow="-120" windowWidth="29040" windowHeight="15840" tabRatio="851" xr2:uid="{628E4975-383D-486A-B90B-BA3269DA7096}"/>
  </bookViews>
  <sheets>
    <sheet name="Intro" sheetId="10" r:id="rId1"/>
    <sheet name="Block Specification" sheetId="17" r:id="rId2"/>
    <sheet name="Yellow Cherry Budget" sheetId="1" r:id="rId3"/>
    <sheet name="Breakeven Return" sheetId="16" r:id="rId4"/>
    <sheet name="App1. Capital Req" sheetId="2" r:id="rId5"/>
    <sheet name="App2. Mach Etc Req" sheetId="11" r:id="rId6"/>
    <sheet name="App3. Interest" sheetId="7" r:id="rId7"/>
    <sheet name="App4. Depreciation" sheetId="18" r:id="rId8"/>
    <sheet name="App5. Estab Costs" sheetId="3" r:id="rId9"/>
    <sheet name="App6. Full Prod Costs" sheetId="6" r:id="rId10"/>
    <sheet name="App7. Salv Value &amp; Dep Calc" sheetId="14" r:id="rId11"/>
    <sheet name="App8. Amort Calc" sheetId="8" r:id="rId12"/>
    <sheet name="App9. Data for tables" sheetId="13" r:id="rId13"/>
  </sheets>
  <definedNames>
    <definedName name="_xlnm.Print_Area" localSheetId="5">'App2. Mach Etc Req'!$A$1:$G$26</definedName>
    <definedName name="_xlnm.Print_Area" localSheetId="12">'App9. Data for tables'!$A$1:$J$79</definedName>
    <definedName name="_xlnm.Print_Area" localSheetId="0">Intro!$A$1:$K$9</definedName>
    <definedName name="_xlnm.Print_Area" localSheetId="2">'Yellow Cherry Budget'!$B$1:$I$68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 l="1"/>
  <c r="G16" i="1"/>
  <c r="F16" i="1"/>
  <c r="E16" i="1"/>
  <c r="D16" i="1"/>
  <c r="C16" i="1"/>
  <c r="H3" i="13" l="1"/>
  <c r="H4" i="13"/>
  <c r="H5" i="13"/>
  <c r="H6" i="13"/>
  <c r="F38" i="13" l="1"/>
  <c r="G38" i="13"/>
  <c r="H38" i="13"/>
  <c r="E38" i="13"/>
  <c r="E31" i="3"/>
  <c r="E15" i="3"/>
  <c r="D17" i="16"/>
  <c r="C17" i="16"/>
  <c r="D13" i="16"/>
  <c r="C13" i="16"/>
  <c r="D9" i="16"/>
  <c r="C9" i="16"/>
  <c r="D5" i="16"/>
  <c r="C5" i="16"/>
  <c r="F65" i="13" l="1"/>
  <c r="H8" i="13" l="1"/>
  <c r="H9" i="13"/>
  <c r="D5" i="6" l="1"/>
  <c r="E98" i="3"/>
  <c r="E75" i="3"/>
  <c r="E51" i="3"/>
  <c r="D82" i="13" l="1"/>
  <c r="E82" i="13" s="1"/>
  <c r="D81" i="13"/>
  <c r="D40" i="13" s="1"/>
  <c r="D79" i="13"/>
  <c r="E79" i="13" s="1"/>
  <c r="F79" i="13" s="1"/>
  <c r="G79" i="13" s="1"/>
  <c r="H79" i="13" s="1"/>
  <c r="C78" i="13"/>
  <c r="D78" i="13" s="1"/>
  <c r="E78" i="13" s="1"/>
  <c r="F78" i="13" s="1"/>
  <c r="G78" i="13" s="1"/>
  <c r="H78" i="13" s="1"/>
  <c r="D77" i="13"/>
  <c r="E77" i="13" s="1"/>
  <c r="F77" i="13" s="1"/>
  <c r="G77" i="13" s="1"/>
  <c r="H77" i="13" s="1"/>
  <c r="D72" i="13"/>
  <c r="E72" i="13" s="1"/>
  <c r="F72" i="13" s="1"/>
  <c r="G72" i="13" s="1"/>
  <c r="H72" i="13" s="1"/>
  <c r="D71" i="13"/>
  <c r="E71" i="13" s="1"/>
  <c r="F71" i="13" s="1"/>
  <c r="G71" i="13" s="1"/>
  <c r="H71" i="13" s="1"/>
  <c r="D70" i="13"/>
  <c r="E70" i="13" s="1"/>
  <c r="F70" i="13" s="1"/>
  <c r="G70" i="13" s="1"/>
  <c r="H70" i="13" s="1"/>
  <c r="D69" i="13"/>
  <c r="E69" i="13" s="1"/>
  <c r="F69" i="13" s="1"/>
  <c r="G69" i="13" s="1"/>
  <c r="H69" i="13" s="1"/>
  <c r="G68" i="13"/>
  <c r="H68" i="13" s="1"/>
  <c r="D67" i="13"/>
  <c r="E67" i="13" s="1"/>
  <c r="F67" i="13" s="1"/>
  <c r="G67" i="13" s="1"/>
  <c r="H67" i="13" s="1"/>
  <c r="D66" i="13"/>
  <c r="E66" i="13" s="1"/>
  <c r="F66" i="13" s="1"/>
  <c r="G66" i="13" s="1"/>
  <c r="H66" i="13" s="1"/>
  <c r="G65" i="13"/>
  <c r="H65" i="13" s="1"/>
  <c r="F64" i="13"/>
  <c r="G64" i="13" s="1"/>
  <c r="H64" i="13" s="1"/>
  <c r="F63" i="13"/>
  <c r="G63" i="13" s="1"/>
  <c r="H63" i="13" s="1"/>
  <c r="H62" i="13"/>
  <c r="D60" i="13"/>
  <c r="E60" i="13" s="1"/>
  <c r="F60" i="13" s="1"/>
  <c r="G60" i="13" s="1"/>
  <c r="H60" i="13" s="1"/>
  <c r="G59" i="13"/>
  <c r="H59" i="13" s="1"/>
  <c r="D57" i="13"/>
  <c r="E57" i="13" s="1"/>
  <c r="F57" i="13" s="1"/>
  <c r="G57" i="13" s="1"/>
  <c r="H57" i="13" s="1"/>
  <c r="G56" i="13"/>
  <c r="H56" i="13" s="1"/>
  <c r="D52" i="13"/>
  <c r="C52" i="13"/>
  <c r="D48" i="13"/>
  <c r="C48" i="13"/>
  <c r="H45" i="13"/>
  <c r="G45" i="13"/>
  <c r="F45" i="13"/>
  <c r="E45" i="13"/>
  <c r="D45" i="13"/>
  <c r="C45" i="13"/>
  <c r="D42" i="13"/>
  <c r="C42" i="13"/>
  <c r="C40" i="13"/>
  <c r="D36" i="13"/>
  <c r="C36" i="13"/>
  <c r="C34" i="13"/>
  <c r="C29" i="13"/>
  <c r="C19" i="13"/>
  <c r="C18" i="13"/>
  <c r="H11" i="13"/>
  <c r="G11" i="13"/>
  <c r="F11" i="13"/>
  <c r="H10" i="13"/>
  <c r="G10" i="13"/>
  <c r="F10" i="13"/>
  <c r="G9" i="13"/>
  <c r="F9" i="13"/>
  <c r="G8" i="13"/>
  <c r="F8" i="13"/>
  <c r="G6" i="13"/>
  <c r="F6" i="13"/>
  <c r="G5" i="13"/>
  <c r="F5" i="13"/>
  <c r="G4" i="13"/>
  <c r="F4" i="13"/>
  <c r="G3" i="13"/>
  <c r="F3" i="13"/>
  <c r="F82" i="13" l="1"/>
  <c r="E52" i="13"/>
  <c r="E48" i="13"/>
  <c r="E81" i="13"/>
  <c r="D34" i="13"/>
  <c r="E40" i="13" l="1"/>
  <c r="E34" i="13"/>
  <c r="F81" i="13"/>
  <c r="E42" i="13"/>
  <c r="E36" i="13"/>
  <c r="G82" i="13"/>
  <c r="F52" i="13"/>
  <c r="F48" i="13"/>
  <c r="H82" i="13" l="1"/>
  <c r="G52" i="13"/>
  <c r="G48" i="13"/>
  <c r="F40" i="13"/>
  <c r="F34" i="13"/>
  <c r="G81" i="13"/>
  <c r="F42" i="13"/>
  <c r="F36" i="13"/>
  <c r="G40" i="13" l="1"/>
  <c r="G34" i="13"/>
  <c r="H81" i="13"/>
  <c r="G42" i="13"/>
  <c r="G36" i="13"/>
  <c r="H48" i="13"/>
  <c r="H52" i="13"/>
  <c r="H34" i="13" l="1"/>
  <c r="H36" i="13"/>
  <c r="H42" i="13"/>
  <c r="H40" i="13"/>
  <c r="C9" i="18" l="1"/>
  <c r="C8" i="18"/>
  <c r="C7" i="18"/>
  <c r="C6" i="18"/>
  <c r="C5" i="18"/>
  <c r="C4" i="18"/>
  <c r="C3" i="18"/>
  <c r="E10" i="1"/>
  <c r="E9" i="1"/>
  <c r="E8" i="1"/>
  <c r="E7" i="1"/>
  <c r="E4" i="1"/>
  <c r="E5" i="1"/>
  <c r="E6" i="1"/>
  <c r="E3" i="1"/>
  <c r="D70" i="3"/>
  <c r="D71" i="3"/>
  <c r="D72" i="3"/>
  <c r="D69" i="3"/>
  <c r="C72" i="3"/>
  <c r="C71" i="3"/>
  <c r="E71" i="3" s="1"/>
  <c r="C70" i="3"/>
  <c r="E70" i="3" s="1"/>
  <c r="C69" i="3"/>
  <c r="F72" i="3"/>
  <c r="F71" i="3"/>
  <c r="F70" i="3"/>
  <c r="F69" i="3"/>
  <c r="E60" i="3"/>
  <c r="E22" i="1" s="1"/>
  <c r="F60" i="3"/>
  <c r="E50" i="3"/>
  <c r="E21" i="1" s="1"/>
  <c r="E49" i="3"/>
  <c r="E48" i="3"/>
  <c r="E20" i="1" s="1"/>
  <c r="E47" i="3"/>
  <c r="F50" i="3"/>
  <c r="F49" i="3"/>
  <c r="F48" i="3"/>
  <c r="F47" i="3"/>
  <c r="E61" i="3"/>
  <c r="E69" i="3" l="1"/>
  <c r="G69" i="3" s="1"/>
  <c r="G71" i="3"/>
  <c r="G47" i="3"/>
  <c r="G70" i="3"/>
  <c r="E26" i="1"/>
  <c r="E25" i="1"/>
  <c r="E72" i="3"/>
  <c r="G60" i="3"/>
  <c r="G49" i="3"/>
  <c r="D6" i="2" s="1"/>
  <c r="G48" i="3"/>
  <c r="G50" i="3"/>
  <c r="H10" i="1"/>
  <c r="H8" i="1"/>
  <c r="H9" i="1"/>
  <c r="D8" i="1"/>
  <c r="D9" i="1"/>
  <c r="D10" i="1"/>
  <c r="D7" i="1"/>
  <c r="C8" i="1"/>
  <c r="C9" i="1"/>
  <c r="C10" i="1"/>
  <c r="C7" i="1"/>
  <c r="H7" i="1"/>
  <c r="E24" i="1" l="1"/>
  <c r="B4" i="7"/>
  <c r="E4" i="7" s="1"/>
  <c r="D5" i="2"/>
  <c r="B4" i="18"/>
  <c r="D4" i="18" s="1"/>
  <c r="F4" i="18" s="1"/>
  <c r="G72" i="3"/>
  <c r="E27" i="1"/>
  <c r="B5" i="7"/>
  <c r="D4" i="6"/>
  <c r="H21" i="1" s="1"/>
  <c r="E97" i="3"/>
  <c r="G21" i="1" s="1"/>
  <c r="E74" i="3"/>
  <c r="F21" i="1" s="1"/>
  <c r="E73" i="3"/>
  <c r="E41" i="1" l="1"/>
  <c r="F41" i="1"/>
  <c r="G41" i="1"/>
  <c r="C41" i="1"/>
  <c r="D41" i="1"/>
  <c r="H41" i="1"/>
  <c r="E5" i="7"/>
  <c r="B5" i="18"/>
  <c r="D5" i="18" s="1"/>
  <c r="F5" i="18" s="1"/>
  <c r="F7" i="1"/>
  <c r="F8" i="1"/>
  <c r="F9" i="1"/>
  <c r="F10" i="1"/>
  <c r="F6" i="1"/>
  <c r="F5" i="1"/>
  <c r="F4" i="1"/>
  <c r="F3" i="1"/>
  <c r="C25" i="6"/>
  <c r="C24" i="6"/>
  <c r="C23" i="6"/>
  <c r="C22" i="6"/>
  <c r="D7" i="6"/>
  <c r="D118" i="3"/>
  <c r="D117" i="3"/>
  <c r="D116" i="3"/>
  <c r="D115" i="3"/>
  <c r="E100" i="3"/>
  <c r="D95" i="3"/>
  <c r="D94" i="3"/>
  <c r="D93" i="3"/>
  <c r="D92" i="3"/>
  <c r="E77" i="3"/>
  <c r="E53" i="3"/>
  <c r="E33" i="3"/>
  <c r="E29" i="3"/>
  <c r="F42" i="1" l="1"/>
  <c r="C42" i="1"/>
  <c r="D42" i="1"/>
  <c r="G42" i="1"/>
  <c r="H42" i="1"/>
  <c r="E42" i="1"/>
  <c r="D11" i="1"/>
  <c r="E11" i="1"/>
  <c r="F11" i="1"/>
  <c r="C11" i="1"/>
  <c r="E17" i="3"/>
  <c r="E9" i="3"/>
  <c r="B4" i="8"/>
  <c r="E34" i="3"/>
  <c r="E54" i="3"/>
  <c r="E78" i="3"/>
  <c r="E101" i="3"/>
  <c r="D8" i="6"/>
  <c r="E18" i="3"/>
  <c r="E12" i="3"/>
  <c r="F18" i="3"/>
  <c r="E4" i="3"/>
  <c r="G6" i="1"/>
  <c r="G5" i="1"/>
  <c r="G4" i="1"/>
  <c r="G3" i="1"/>
  <c r="G10" i="1"/>
  <c r="G9" i="1"/>
  <c r="G8" i="1"/>
  <c r="F12" i="3"/>
  <c r="H4" i="1" l="1"/>
  <c r="H6" i="1"/>
  <c r="H3" i="1"/>
  <c r="H5" i="1"/>
  <c r="F4" i="3"/>
  <c r="F34" i="3"/>
  <c r="G34" i="3" s="1"/>
  <c r="G18" i="3"/>
  <c r="F26" i="3"/>
  <c r="F25" i="3"/>
  <c r="F14" i="3"/>
  <c r="F24" i="3"/>
  <c r="F13" i="3"/>
  <c r="F15" i="3"/>
  <c r="F23" i="3"/>
  <c r="F21" i="3"/>
  <c r="F8" i="3"/>
  <c r="F22" i="3"/>
  <c r="F30" i="3"/>
  <c r="F29" i="3"/>
  <c r="F19" i="3"/>
  <c r="F6" i="3"/>
  <c r="F11" i="3"/>
  <c r="F20" i="3"/>
  <c r="F28" i="3"/>
  <c r="F17" i="3"/>
  <c r="F5" i="3"/>
  <c r="F10" i="3"/>
  <c r="F9" i="3"/>
  <c r="F7" i="3"/>
  <c r="F27" i="3"/>
  <c r="F16" i="3"/>
  <c r="H11" i="1" l="1"/>
  <c r="G7" i="1" l="1"/>
  <c r="G11" i="1" s="1"/>
  <c r="G61" i="3" l="1"/>
  <c r="D10" i="2" s="1"/>
  <c r="E45" i="3" l="1"/>
  <c r="E46" i="3"/>
  <c r="E67" i="3" l="1"/>
  <c r="F33" i="3"/>
  <c r="F45" i="3"/>
  <c r="F35" i="3"/>
  <c r="F37" i="3"/>
  <c r="F38" i="3"/>
  <c r="F32" i="3"/>
  <c r="F39" i="3"/>
  <c r="F40" i="3"/>
  <c r="F44" i="3"/>
  <c r="F46" i="3"/>
  <c r="F41" i="3"/>
  <c r="F42" i="3"/>
  <c r="F36" i="3"/>
  <c r="F43" i="3"/>
  <c r="E90" i="3" l="1"/>
  <c r="F54" i="3"/>
  <c r="G54" i="3" s="1"/>
  <c r="F83" i="3"/>
  <c r="F94" i="3"/>
  <c r="F84" i="3"/>
  <c r="F95" i="3"/>
  <c r="F85" i="3"/>
  <c r="F81" i="3"/>
  <c r="F75" i="3"/>
  <c r="F87" i="3"/>
  <c r="F76" i="3"/>
  <c r="F92" i="3"/>
  <c r="F82" i="3"/>
  <c r="F77" i="3"/>
  <c r="F89" i="3"/>
  <c r="F79" i="3"/>
  <c r="F90" i="3"/>
  <c r="F62" i="3"/>
  <c r="F63" i="3"/>
  <c r="F64" i="3"/>
  <c r="F52" i="3"/>
  <c r="F65" i="3"/>
  <c r="F56" i="3"/>
  <c r="F53" i="3"/>
  <c r="F66" i="3"/>
  <c r="F68" i="3"/>
  <c r="F55" i="3"/>
  <c r="F67" i="3"/>
  <c r="F57" i="3"/>
  <c r="F59" i="3"/>
  <c r="F58" i="3"/>
  <c r="B11" i="7"/>
  <c r="D14" i="6"/>
  <c r="H22" i="1" s="1"/>
  <c r="D3" i="6"/>
  <c r="H20" i="1" s="1"/>
  <c r="E107" i="3"/>
  <c r="E96" i="3"/>
  <c r="G20" i="1" s="1"/>
  <c r="E84" i="3"/>
  <c r="E11" i="7" l="1"/>
  <c r="B9" i="18"/>
  <c r="D9" i="18" s="1"/>
  <c r="F9" i="18" s="1"/>
  <c r="F101" i="3"/>
  <c r="G101" i="3" s="1"/>
  <c r="F97" i="3"/>
  <c r="G97" i="3" s="1"/>
  <c r="F74" i="3"/>
  <c r="G74" i="3" s="1"/>
  <c r="F86" i="3"/>
  <c r="F93" i="3"/>
  <c r="F88" i="3"/>
  <c r="F80" i="3"/>
  <c r="F91" i="3"/>
  <c r="F73" i="3"/>
  <c r="G73" i="3" s="1"/>
  <c r="F78" i="3"/>
  <c r="G78" i="3" s="1"/>
  <c r="D20" i="6"/>
  <c r="E113" i="3"/>
  <c r="G84" i="3"/>
  <c r="F22" i="1"/>
  <c r="G22" i="1"/>
  <c r="F105" i="3"/>
  <c r="F116" i="3"/>
  <c r="F106" i="3"/>
  <c r="F117" i="3"/>
  <c r="F96" i="3"/>
  <c r="G96" i="3" s="1"/>
  <c r="F110" i="3"/>
  <c r="F108" i="3"/>
  <c r="F98" i="3"/>
  <c r="F114" i="3"/>
  <c r="F109" i="3"/>
  <c r="F99" i="3"/>
  <c r="F111" i="3"/>
  <c r="F113" i="3"/>
  <c r="F103" i="3"/>
  <c r="F104" i="3"/>
  <c r="F118" i="3"/>
  <c r="F100" i="3"/>
  <c r="F112" i="3"/>
  <c r="F115" i="3"/>
  <c r="F102" i="3"/>
  <c r="F107" i="3"/>
  <c r="G107" i="3" s="1"/>
  <c r="F20" i="1"/>
  <c r="E47" i="1" l="1"/>
  <c r="D47" i="1"/>
  <c r="F47" i="1"/>
  <c r="G47" i="1"/>
  <c r="C47" i="1"/>
  <c r="H47" i="1"/>
  <c r="E4" i="6"/>
  <c r="F4" i="6" s="1"/>
  <c r="D4" i="7"/>
  <c r="D5" i="7"/>
  <c r="E8" i="6"/>
  <c r="F8" i="6" s="1"/>
  <c r="E10" i="6"/>
  <c r="E11" i="6"/>
  <c r="E3" i="6"/>
  <c r="F3" i="6" s="1"/>
  <c r="E9" i="6"/>
  <c r="E7" i="6"/>
  <c r="G17" i="3" l="1"/>
  <c r="G33" i="3" l="1"/>
  <c r="G53" i="3" l="1"/>
  <c r="G77" i="3" l="1"/>
  <c r="G100" i="3" l="1"/>
  <c r="D6" i="6" l="1"/>
  <c r="E99" i="3"/>
  <c r="E76" i="3"/>
  <c r="E52" i="3"/>
  <c r="E32" i="3"/>
  <c r="E16" i="3"/>
  <c r="G52" i="3" l="1"/>
  <c r="E15" i="1"/>
  <c r="G99" i="3"/>
  <c r="G15" i="1"/>
  <c r="G16" i="3"/>
  <c r="C15" i="1"/>
  <c r="G32" i="3"/>
  <c r="D15" i="1"/>
  <c r="G76" i="3"/>
  <c r="F15" i="1"/>
  <c r="F7" i="6"/>
  <c r="D8" i="3" l="1"/>
  <c r="F51" i="3"/>
  <c r="F31" i="3"/>
  <c r="F3" i="3"/>
  <c r="E25" i="6"/>
  <c r="E24" i="6"/>
  <c r="E23" i="6"/>
  <c r="E22" i="6"/>
  <c r="E21" i="6"/>
  <c r="E20" i="6"/>
  <c r="E19" i="6"/>
  <c r="E18" i="6"/>
  <c r="E16" i="6"/>
  <c r="E15" i="6"/>
  <c r="E13" i="6"/>
  <c r="E12" i="6"/>
  <c r="E17" i="6"/>
  <c r="E14" i="6"/>
  <c r="F14" i="6" s="1"/>
  <c r="E6" i="6"/>
  <c r="E5" i="6"/>
  <c r="D11" i="7"/>
  <c r="D10" i="7"/>
  <c r="D9" i="7"/>
  <c r="D8" i="7"/>
  <c r="D7" i="7"/>
  <c r="D6" i="7"/>
  <c r="D3" i="7"/>
  <c r="E10" i="3" l="1"/>
  <c r="G10" i="3" l="1"/>
  <c r="E7" i="3"/>
  <c r="G7" i="3" s="1"/>
  <c r="E6" i="3"/>
  <c r="G6" i="3" s="1"/>
  <c r="E15" i="11" l="1"/>
  <c r="B15" i="14" s="1"/>
  <c r="E15" i="14" l="1"/>
  <c r="F15" i="14" s="1"/>
  <c r="G15" i="14" s="1"/>
  <c r="C95" i="3" l="1"/>
  <c r="C118" i="3"/>
  <c r="B25" i="6"/>
  <c r="C94" i="3" l="1"/>
  <c r="C117" i="3"/>
  <c r="B24" i="6"/>
  <c r="D11" i="6"/>
  <c r="E104" i="3"/>
  <c r="E81" i="3"/>
  <c r="E57" i="3"/>
  <c r="E37" i="3"/>
  <c r="E21" i="3"/>
  <c r="E3" i="11"/>
  <c r="B3" i="14" s="1"/>
  <c r="E4" i="11"/>
  <c r="B4" i="14" s="1"/>
  <c r="E4" i="14" s="1"/>
  <c r="F4" i="14" s="1"/>
  <c r="G4" i="14" s="1"/>
  <c r="E5" i="11"/>
  <c r="B5" i="14" s="1"/>
  <c r="E5" i="14" s="1"/>
  <c r="F5" i="14" s="1"/>
  <c r="G5" i="14" s="1"/>
  <c r="E6" i="11"/>
  <c r="B6" i="14" s="1"/>
  <c r="E6" i="14" s="1"/>
  <c r="F6" i="14" s="1"/>
  <c r="G6" i="14" s="1"/>
  <c r="E7" i="11"/>
  <c r="B7" i="14" s="1"/>
  <c r="E7" i="14" s="1"/>
  <c r="F7" i="14" s="1"/>
  <c r="G7" i="14" s="1"/>
  <c r="E8" i="11"/>
  <c r="B8" i="14" s="1"/>
  <c r="E8" i="14" s="1"/>
  <c r="F8" i="14" s="1"/>
  <c r="G8" i="14" s="1"/>
  <c r="E9" i="11"/>
  <c r="B9" i="14" s="1"/>
  <c r="E9" i="14" s="1"/>
  <c r="F9" i="14" s="1"/>
  <c r="G9" i="14" s="1"/>
  <c r="E10" i="11"/>
  <c r="B10" i="14" s="1"/>
  <c r="E10" i="14" s="1"/>
  <c r="F10" i="14" s="1"/>
  <c r="G10" i="14" s="1"/>
  <c r="E11" i="11"/>
  <c r="B11" i="14" s="1"/>
  <c r="E11" i="14" s="1"/>
  <c r="F11" i="14" s="1"/>
  <c r="G11" i="14" s="1"/>
  <c r="E12" i="11"/>
  <c r="B12" i="14" s="1"/>
  <c r="E12" i="14" s="1"/>
  <c r="F12" i="14" s="1"/>
  <c r="G12" i="14" s="1"/>
  <c r="E13" i="11"/>
  <c r="B13" i="14" s="1"/>
  <c r="E13" i="14" s="1"/>
  <c r="F13" i="14" s="1"/>
  <c r="G13" i="14" s="1"/>
  <c r="E14" i="11"/>
  <c r="B14" i="14" s="1"/>
  <c r="E14" i="14" s="1"/>
  <c r="F14" i="14" s="1"/>
  <c r="G14" i="14" s="1"/>
  <c r="E16" i="11"/>
  <c r="B16" i="14" s="1"/>
  <c r="E17" i="11"/>
  <c r="B17" i="14" s="1"/>
  <c r="E17" i="14" s="1"/>
  <c r="F17" i="14" s="1"/>
  <c r="G17" i="14" s="1"/>
  <c r="D13" i="6"/>
  <c r="H19" i="1" s="1"/>
  <c r="E79" i="3"/>
  <c r="F14" i="1"/>
  <c r="E64" i="3"/>
  <c r="E23" i="1" s="1"/>
  <c r="E39" i="3"/>
  <c r="D19" i="1" s="1"/>
  <c r="C14" i="1"/>
  <c r="E13" i="3"/>
  <c r="E5" i="3"/>
  <c r="G5" i="3" s="1"/>
  <c r="C8" i="3"/>
  <c r="E23" i="3"/>
  <c r="C19" i="1" s="1"/>
  <c r="E19" i="3"/>
  <c r="E20" i="3"/>
  <c r="G20" i="3" s="1"/>
  <c r="E26" i="3"/>
  <c r="C23" i="1" s="1"/>
  <c r="E22" i="3"/>
  <c r="E25" i="3"/>
  <c r="C29" i="1" s="1"/>
  <c r="E11" i="3"/>
  <c r="G11" i="3" s="1"/>
  <c r="G12" i="3"/>
  <c r="E14" i="3"/>
  <c r="E3" i="3"/>
  <c r="E27" i="3"/>
  <c r="C34" i="1" s="1"/>
  <c r="E28" i="3"/>
  <c r="C35" i="1" s="1"/>
  <c r="C36" i="1"/>
  <c r="E30" i="3"/>
  <c r="C58" i="1" s="1"/>
  <c r="E43" i="3"/>
  <c r="D34" i="1" s="1"/>
  <c r="E44" i="3"/>
  <c r="D35" i="1" s="1"/>
  <c r="D36" i="1"/>
  <c r="D58" i="1"/>
  <c r="D14" i="1"/>
  <c r="E35" i="3"/>
  <c r="E36" i="3"/>
  <c r="G36" i="3" s="1"/>
  <c r="E42" i="3"/>
  <c r="D23" i="1" s="1"/>
  <c r="E38" i="3"/>
  <c r="E41" i="3"/>
  <c r="D29" i="1" s="1"/>
  <c r="E65" i="3"/>
  <c r="E34" i="1" s="1"/>
  <c r="E66" i="3"/>
  <c r="E35" i="1" s="1"/>
  <c r="E36" i="1"/>
  <c r="E68" i="3"/>
  <c r="E58" i="1" s="1"/>
  <c r="E14" i="1"/>
  <c r="E59" i="3"/>
  <c r="E19" i="1" s="1"/>
  <c r="E55" i="3"/>
  <c r="E56" i="3"/>
  <c r="G56" i="3" s="1"/>
  <c r="E58" i="3"/>
  <c r="E63" i="3"/>
  <c r="E29" i="1" s="1"/>
  <c r="E88" i="3"/>
  <c r="F34" i="1" s="1"/>
  <c r="E89" i="3"/>
  <c r="F35" i="1" s="1"/>
  <c r="F36" i="1"/>
  <c r="E91" i="3"/>
  <c r="F58" i="1" s="1"/>
  <c r="E80" i="3"/>
  <c r="G80" i="3" s="1"/>
  <c r="E83" i="3"/>
  <c r="F19" i="1" s="1"/>
  <c r="E87" i="3"/>
  <c r="F23" i="1" s="1"/>
  <c r="E82" i="3"/>
  <c r="C92" i="3"/>
  <c r="C93" i="3"/>
  <c r="E86" i="3"/>
  <c r="F29" i="1" s="1"/>
  <c r="E111" i="3"/>
  <c r="E112" i="3"/>
  <c r="G35" i="1" s="1"/>
  <c r="E114" i="3"/>
  <c r="G58" i="1" s="1"/>
  <c r="E106" i="3"/>
  <c r="E102" i="3"/>
  <c r="E103" i="3"/>
  <c r="G103" i="3" s="1"/>
  <c r="E110" i="3"/>
  <c r="G23" i="1" s="1"/>
  <c r="E105" i="3"/>
  <c r="G105" i="3" s="1"/>
  <c r="C115" i="3"/>
  <c r="C116" i="3"/>
  <c r="E109" i="3"/>
  <c r="B5" i="8"/>
  <c r="D18" i="6"/>
  <c r="H34" i="1" s="1"/>
  <c r="D19" i="6"/>
  <c r="H35" i="1" s="1"/>
  <c r="H36" i="1"/>
  <c r="D21" i="6"/>
  <c r="H58" i="1" s="1"/>
  <c r="B22" i="6"/>
  <c r="B23" i="6"/>
  <c r="H14" i="1"/>
  <c r="H15" i="1"/>
  <c r="D9" i="6"/>
  <c r="D10" i="6"/>
  <c r="F10" i="6" s="1"/>
  <c r="D17" i="6"/>
  <c r="H23" i="1" s="1"/>
  <c r="D12" i="6"/>
  <c r="D16" i="6"/>
  <c r="H29" i="1" s="1"/>
  <c r="F5" i="7" l="1"/>
  <c r="F4" i="7"/>
  <c r="F18" i="1"/>
  <c r="H18" i="1"/>
  <c r="G55" i="3"/>
  <c r="E17" i="1"/>
  <c r="G106" i="3"/>
  <c r="G19" i="1"/>
  <c r="G104" i="3"/>
  <c r="G18" i="1"/>
  <c r="G19" i="3"/>
  <c r="C17" i="1"/>
  <c r="G102" i="3"/>
  <c r="G17" i="1"/>
  <c r="G109" i="3"/>
  <c r="G29" i="1"/>
  <c r="G113" i="3"/>
  <c r="G36" i="1"/>
  <c r="C18" i="1"/>
  <c r="B3" i="7"/>
  <c r="B7" i="2"/>
  <c r="G98" i="3"/>
  <c r="G14" i="1"/>
  <c r="G79" i="3"/>
  <c r="F17" i="1"/>
  <c r="D18" i="1"/>
  <c r="F9" i="6"/>
  <c r="H17" i="1"/>
  <c r="G111" i="3"/>
  <c r="G34" i="1"/>
  <c r="G35" i="3"/>
  <c r="D17" i="1"/>
  <c r="G4" i="3"/>
  <c r="C12" i="1"/>
  <c r="E18" i="1"/>
  <c r="F6" i="6"/>
  <c r="F11" i="6"/>
  <c r="F13" i="6"/>
  <c r="F12" i="6"/>
  <c r="F19" i="6"/>
  <c r="F18" i="6"/>
  <c r="F5" i="6"/>
  <c r="F21" i="6"/>
  <c r="F20" i="6"/>
  <c r="F16" i="6"/>
  <c r="F17" i="6"/>
  <c r="G114" i="3"/>
  <c r="G112" i="3"/>
  <c r="G110" i="3"/>
  <c r="G83" i="3"/>
  <c r="G86" i="3"/>
  <c r="G75" i="3"/>
  <c r="G87" i="3"/>
  <c r="G91" i="3"/>
  <c r="G90" i="3"/>
  <c r="G89" i="3"/>
  <c r="G88" i="3"/>
  <c r="G82" i="3"/>
  <c r="G81" i="3"/>
  <c r="G66" i="3"/>
  <c r="G64" i="3"/>
  <c r="G65" i="3"/>
  <c r="G58" i="3"/>
  <c r="G59" i="3"/>
  <c r="G63" i="3"/>
  <c r="G51" i="3"/>
  <c r="G68" i="3"/>
  <c r="G57" i="3"/>
  <c r="G67" i="3"/>
  <c r="G44" i="3"/>
  <c r="G39" i="3"/>
  <c r="G38" i="3"/>
  <c r="G42" i="3"/>
  <c r="G43" i="3"/>
  <c r="G41" i="3"/>
  <c r="G31" i="3"/>
  <c r="G46" i="3"/>
  <c r="G45" i="3"/>
  <c r="G37" i="3"/>
  <c r="G22" i="3"/>
  <c r="G26" i="3"/>
  <c r="G29" i="3"/>
  <c r="G23" i="3"/>
  <c r="G30" i="3"/>
  <c r="G27" i="3"/>
  <c r="G28" i="3"/>
  <c r="G3" i="3"/>
  <c r="G14" i="3"/>
  <c r="B9" i="2" s="1"/>
  <c r="G13" i="3"/>
  <c r="B8" i="2" s="1"/>
  <c r="G15" i="3"/>
  <c r="G21" i="3"/>
  <c r="G25" i="3"/>
  <c r="C13" i="2"/>
  <c r="D13" i="2"/>
  <c r="B13" i="2"/>
  <c r="D15" i="6"/>
  <c r="H28" i="1" s="1"/>
  <c r="E92" i="3"/>
  <c r="F24" i="1" s="1"/>
  <c r="E18" i="11"/>
  <c r="B7" i="7" s="1"/>
  <c r="D23" i="6"/>
  <c r="H25" i="1" s="1"/>
  <c r="D24" i="6"/>
  <c r="H26" i="1" s="1"/>
  <c r="E95" i="3"/>
  <c r="F27" i="1" s="1"/>
  <c r="D22" i="6"/>
  <c r="H24" i="1" s="1"/>
  <c r="B4" i="2"/>
  <c r="E16" i="14"/>
  <c r="F16" i="14" s="1"/>
  <c r="G16" i="14" s="1"/>
  <c r="E3" i="14"/>
  <c r="F3" i="14" s="1"/>
  <c r="G3" i="14" s="1"/>
  <c r="E115" i="3"/>
  <c r="G24" i="1" s="1"/>
  <c r="E117" i="3"/>
  <c r="G26" i="1" s="1"/>
  <c r="E8" i="3"/>
  <c r="E116" i="3"/>
  <c r="E118" i="3"/>
  <c r="E94" i="3"/>
  <c r="F26" i="1" s="1"/>
  <c r="E93" i="3"/>
  <c r="F25" i="1" s="1"/>
  <c r="G9" i="3"/>
  <c r="C4" i="16" l="1"/>
  <c r="D4" i="16" s="1"/>
  <c r="E3" i="7"/>
  <c r="B3" i="18"/>
  <c r="D3" i="18" s="1"/>
  <c r="F3" i="18" s="1"/>
  <c r="C6" i="16"/>
  <c r="D6" i="16" s="1"/>
  <c r="C3" i="16"/>
  <c r="D3" i="16" s="1"/>
  <c r="G49" i="1"/>
  <c r="E49" i="1"/>
  <c r="C49" i="1"/>
  <c r="F49" i="1"/>
  <c r="H49" i="1"/>
  <c r="D49" i="1"/>
  <c r="G50" i="1"/>
  <c r="F50" i="1"/>
  <c r="H50" i="1"/>
  <c r="E50" i="1"/>
  <c r="D50" i="1"/>
  <c r="C50" i="1"/>
  <c r="G8" i="3"/>
  <c r="C13" i="1"/>
  <c r="G118" i="3"/>
  <c r="G27" i="1"/>
  <c r="G116" i="3"/>
  <c r="G25" i="1"/>
  <c r="F22" i="6"/>
  <c r="F23" i="6"/>
  <c r="F15" i="6"/>
  <c r="F24" i="6"/>
  <c r="G115" i="3"/>
  <c r="G117" i="3"/>
  <c r="G92" i="3"/>
  <c r="G94" i="3"/>
  <c r="G93" i="3"/>
  <c r="G95" i="3"/>
  <c r="C37" i="1"/>
  <c r="B3" i="2"/>
  <c r="H37" i="1"/>
  <c r="G37" i="1"/>
  <c r="E37" i="1"/>
  <c r="F37" i="1"/>
  <c r="D37" i="1"/>
  <c r="G13" i="2"/>
  <c r="E13" i="2"/>
  <c r="F13" i="2"/>
  <c r="E85" i="3"/>
  <c r="F28" i="1" s="1"/>
  <c r="E62" i="3"/>
  <c r="E28" i="1" s="1"/>
  <c r="E40" i="3"/>
  <c r="D28" i="1" s="1"/>
  <c r="E108" i="3"/>
  <c r="G28" i="1" s="1"/>
  <c r="E24" i="3"/>
  <c r="C28" i="1" s="1"/>
  <c r="E18" i="14"/>
  <c r="C7" i="7" s="1"/>
  <c r="B9" i="7"/>
  <c r="B7" i="18" s="1"/>
  <c r="D7" i="18" s="1"/>
  <c r="F7" i="18" s="1"/>
  <c r="B8" i="7"/>
  <c r="B6" i="18" s="1"/>
  <c r="D6" i="18" s="1"/>
  <c r="F6" i="18" s="1"/>
  <c r="B18" i="14"/>
  <c r="B6" i="7"/>
  <c r="D25" i="6"/>
  <c r="H27" i="1" s="1"/>
  <c r="H44" i="1" l="1"/>
  <c r="D44" i="1"/>
  <c r="E44" i="1"/>
  <c r="G44" i="1"/>
  <c r="F44" i="1"/>
  <c r="C44" i="1"/>
  <c r="D40" i="1"/>
  <c r="E40" i="1"/>
  <c r="C40" i="1"/>
  <c r="F40" i="1"/>
  <c r="G40" i="1"/>
  <c r="H40" i="1"/>
  <c r="D45" i="1"/>
  <c r="E45" i="1"/>
  <c r="F45" i="1"/>
  <c r="H45" i="1"/>
  <c r="G45" i="1"/>
  <c r="C45" i="1"/>
  <c r="E8" i="7"/>
  <c r="F8" i="7" s="1"/>
  <c r="G53" i="1" s="1"/>
  <c r="E6" i="7"/>
  <c r="F6" i="7" s="1"/>
  <c r="E9" i="7"/>
  <c r="F9" i="7" s="1"/>
  <c r="E7" i="7"/>
  <c r="F7" i="7" s="1"/>
  <c r="C8" i="16"/>
  <c r="D8" i="16" s="1"/>
  <c r="C10" i="16"/>
  <c r="D10" i="16" s="1"/>
  <c r="C7" i="16"/>
  <c r="D7" i="16" s="1"/>
  <c r="F18" i="14"/>
  <c r="G18" i="14" s="1"/>
  <c r="F10" i="18" s="1"/>
  <c r="F25" i="6"/>
  <c r="G108" i="3"/>
  <c r="G85" i="3"/>
  <c r="G62" i="3"/>
  <c r="G40" i="3"/>
  <c r="G24" i="3"/>
  <c r="H30" i="1"/>
  <c r="H31" i="1" s="1"/>
  <c r="H32" i="1" s="1"/>
  <c r="F11" i="7"/>
  <c r="F30" i="1"/>
  <c r="F31" i="1" s="1"/>
  <c r="F32" i="1" s="1"/>
  <c r="F38" i="1" s="1"/>
  <c r="G30" i="1"/>
  <c r="G31" i="1" s="1"/>
  <c r="G32" i="1" s="1"/>
  <c r="G38" i="1" s="1"/>
  <c r="D30" i="1"/>
  <c r="D31" i="1" s="1"/>
  <c r="D32" i="1" s="1"/>
  <c r="D38" i="1" s="1"/>
  <c r="E30" i="1"/>
  <c r="E31" i="1" s="1"/>
  <c r="E32" i="1" s="1"/>
  <c r="B10" i="7"/>
  <c r="C30" i="1"/>
  <c r="C31" i="1" s="1"/>
  <c r="F43" i="1" l="1"/>
  <c r="G43" i="1"/>
  <c r="H43" i="1"/>
  <c r="D43" i="1"/>
  <c r="C43" i="1"/>
  <c r="E43" i="1"/>
  <c r="E10" i="7"/>
  <c r="F10" i="7" s="1"/>
  <c r="B8" i="18"/>
  <c r="D8" i="18" s="1"/>
  <c r="F8" i="18" s="1"/>
  <c r="C52" i="1"/>
  <c r="F52" i="1"/>
  <c r="G52" i="1"/>
  <c r="D52" i="1"/>
  <c r="H52" i="1"/>
  <c r="E52" i="1"/>
  <c r="H54" i="1"/>
  <c r="D54" i="1"/>
  <c r="G54" i="1"/>
  <c r="E54" i="1"/>
  <c r="C54" i="1"/>
  <c r="F54" i="1"/>
  <c r="C51" i="1"/>
  <c r="E51" i="1"/>
  <c r="D51" i="1"/>
  <c r="G51" i="1"/>
  <c r="H51" i="1"/>
  <c r="F51" i="1"/>
  <c r="H38" i="1"/>
  <c r="C32" i="1"/>
  <c r="C33" i="1" s="1"/>
  <c r="E56" i="1"/>
  <c r="D56" i="1"/>
  <c r="C56" i="1"/>
  <c r="G39" i="1"/>
  <c r="F39" i="1"/>
  <c r="D39" i="1"/>
  <c r="E33" i="1"/>
  <c r="E38" i="1"/>
  <c r="F33" i="1"/>
  <c r="D33" i="1"/>
  <c r="G33" i="1"/>
  <c r="H33" i="1"/>
  <c r="F3" i="7"/>
  <c r="F48" i="1" s="1"/>
  <c r="D11" i="2"/>
  <c r="D12" i="2" s="1"/>
  <c r="G11" i="2"/>
  <c r="G12" i="2" s="1"/>
  <c r="E11" i="2"/>
  <c r="E12" i="2" s="1"/>
  <c r="C11" i="2"/>
  <c r="C12" i="2" s="1"/>
  <c r="F11" i="2"/>
  <c r="F12" i="2" s="1"/>
  <c r="H56" i="1"/>
  <c r="G56" i="1"/>
  <c r="H53" i="1"/>
  <c r="F56" i="1"/>
  <c r="D53" i="1"/>
  <c r="C53" i="1"/>
  <c r="F53" i="1"/>
  <c r="E53" i="1"/>
  <c r="F46" i="1" l="1"/>
  <c r="C46" i="1"/>
  <c r="D46" i="1"/>
  <c r="E46" i="1"/>
  <c r="G46" i="1"/>
  <c r="G61" i="1" s="1"/>
  <c r="H46" i="1"/>
  <c r="H39" i="1"/>
  <c r="E48" i="1"/>
  <c r="E39" i="1"/>
  <c r="C38" i="1"/>
  <c r="C48" i="1"/>
  <c r="H48" i="1"/>
  <c r="G48" i="1"/>
  <c r="D48" i="1"/>
  <c r="B11" i="2"/>
  <c r="B12" i="2" s="1"/>
  <c r="E14" i="2"/>
  <c r="F14" i="2"/>
  <c r="C14" i="2"/>
  <c r="D14" i="2"/>
  <c r="G14" i="2"/>
  <c r="H55" i="1"/>
  <c r="F55" i="1"/>
  <c r="E55" i="1"/>
  <c r="D55" i="1"/>
  <c r="C55" i="1"/>
  <c r="G55" i="1"/>
  <c r="F61" i="1"/>
  <c r="E61" i="1"/>
  <c r="D61" i="1"/>
  <c r="C12" i="16" l="1"/>
  <c r="D12" i="16" s="1"/>
  <c r="C11" i="16"/>
  <c r="D11" i="16" s="1"/>
  <c r="C14" i="16"/>
  <c r="D14" i="16" s="1"/>
  <c r="H61" i="1"/>
  <c r="C39" i="1"/>
  <c r="C61" i="1"/>
  <c r="C60" i="1"/>
  <c r="C62" i="1" s="1"/>
  <c r="C63" i="1" s="1"/>
  <c r="C65" i="1" s="1"/>
  <c r="D57" i="1" s="1"/>
  <c r="B14" i="2"/>
  <c r="C64" i="1" l="1"/>
  <c r="D60" i="1"/>
  <c r="D62" i="1" l="1"/>
  <c r="D63" i="1" s="1"/>
  <c r="D64" i="1" l="1"/>
  <c r="D65" i="1"/>
  <c r="E57" i="1" s="1"/>
  <c r="E60" i="1" s="1"/>
  <c r="E62" i="1" s="1"/>
  <c r="E63" i="1" s="1"/>
  <c r="E64" i="1" s="1"/>
  <c r="E65" i="1" l="1"/>
  <c r="F57" i="1" s="1"/>
  <c r="F60" i="1" s="1"/>
  <c r="F62" i="1" l="1"/>
  <c r="F63" i="1" s="1"/>
  <c r="F64" i="1" l="1"/>
  <c r="F65" i="1"/>
  <c r="G57" i="1" s="1"/>
  <c r="G60" i="1" s="1"/>
  <c r="G62" i="1" l="1"/>
  <c r="G63" i="1" s="1"/>
  <c r="G65" i="1" s="1"/>
  <c r="B3" i="8" s="1"/>
  <c r="B7" i="8" s="1"/>
  <c r="G64" i="1" l="1"/>
  <c r="H59" i="1"/>
  <c r="C15" i="16" l="1"/>
  <c r="D15" i="16" s="1"/>
  <c r="C16" i="16"/>
  <c r="D16" i="16" s="1"/>
  <c r="C18" i="16"/>
  <c r="D18" i="16" s="1"/>
  <c r="H60" i="1"/>
  <c r="H62" i="1" s="1"/>
  <c r="H63" i="1" s="1"/>
  <c r="H64" i="1" l="1"/>
</calcChain>
</file>

<file path=xl/sharedStrings.xml><?xml version="1.0" encoding="utf-8"?>
<sst xmlns="http://schemas.openxmlformats.org/spreadsheetml/2006/main" count="903" uniqueCount="483">
  <si>
    <t>By R. Karina Gallardo, Suzette P. Galinato and Bernardita Sallato</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</si>
  <si>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</si>
  <si>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</si>
  <si>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</si>
  <si>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The area of the total farm operation is 300 acres of mixed conventional tree fruits. Bearing acres include: 225 acres of apples (75% of total area); 48 acres of sweet cherries (16%), and 27 acres of pears (9%).</t>
  </si>
  <si>
    <t>The irrigation system consists of overhead cooling and under tree drip lines, with two separate sub-main lines. Water is provided through a public irrigation district.</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</si>
  <si>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</si>
  <si>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Architecture</t>
  </si>
  <si>
    <t>In-row Spacing</t>
  </si>
  <si>
    <t>Between-row Spacing</t>
  </si>
  <si>
    <t>Rootstock</t>
  </si>
  <si>
    <t>Productive Block Size</t>
  </si>
  <si>
    <t>Life of Planting</t>
  </si>
  <si>
    <t>Tree Density</t>
  </si>
  <si>
    <t>Trellis System</t>
  </si>
  <si>
    <t xml:space="preserve"> Year 1</t>
  </si>
  <si>
    <t>Year 2</t>
  </si>
  <si>
    <t>Year 3</t>
  </si>
  <si>
    <t>Year 4</t>
  </si>
  <si>
    <t>Year 5</t>
  </si>
  <si>
    <t>TOTAL RETURNS ($/acre)</t>
  </si>
  <si>
    <t>Soil Preparation</t>
  </si>
  <si>
    <t>Trees (including labor)</t>
  </si>
  <si>
    <t>Irrigation Water &amp; Electric Charge</t>
  </si>
  <si>
    <t>Beehives</t>
  </si>
  <si>
    <t>Maintenance &amp; Repair</t>
  </si>
  <si>
    <t>Fuel &amp; Lube</t>
  </si>
  <si>
    <t>Total Variable Costs</t>
  </si>
  <si>
    <t>Miscellaneous Supplies</t>
  </si>
  <si>
    <t>Land &amp; Property Taxes</t>
  </si>
  <si>
    <t>Total Fixed Cash Cost</t>
  </si>
  <si>
    <t>Total Cash Costs</t>
  </si>
  <si>
    <t>Return over Cash Costs</t>
  </si>
  <si>
    <t>Depreciation</t>
  </si>
  <si>
    <t>Irrigation System</t>
  </si>
  <si>
    <t>Machinery, Equipment, &amp; Building</t>
  </si>
  <si>
    <t>Mainline &amp; Pump</t>
  </si>
  <si>
    <t>Pond</t>
  </si>
  <si>
    <t>Trellis</t>
  </si>
  <si>
    <t>Wind Machine</t>
  </si>
  <si>
    <t>Interest</t>
  </si>
  <si>
    <t xml:space="preserve">Wind Machine </t>
  </si>
  <si>
    <t>Establishment Costs (5%)</t>
  </si>
  <si>
    <t>Management Cost</t>
  </si>
  <si>
    <t>Total Fixed Non-Cash Costs</t>
  </si>
  <si>
    <t>Return over Cash Costs and Depreciation</t>
  </si>
  <si>
    <t>Total Fixed Costs</t>
  </si>
  <si>
    <t>ESTIMATED NET RETURNS</t>
  </si>
  <si>
    <t>Accumulated Establishment Costs</t>
  </si>
  <si>
    <t>Notes:</t>
  </si>
  <si>
    <t>D</t>
  </si>
  <si>
    <t>E</t>
  </si>
  <si>
    <t>Total Cost</t>
  </si>
  <si>
    <t>G</t>
  </si>
  <si>
    <r>
      <t>Operating Expenses</t>
    </r>
    <r>
      <rPr>
        <vertAlign val="superscript"/>
        <sz val="11"/>
        <rFont val="Times New Roman"/>
        <family val="1"/>
      </rPr>
      <t>B</t>
    </r>
  </si>
  <si>
    <t>Total Requirements ($)</t>
  </si>
  <si>
    <t>Receipts ($)</t>
  </si>
  <si>
    <t>Net Requirements ($)</t>
  </si>
  <si>
    <t>B. Operating expenses is the sum of the total variable costs, miscellaneous supplies, land and property taxes, insurance cost, and management cost.</t>
  </si>
  <si>
    <t>Description</t>
  </si>
  <si>
    <r>
      <t>Purchase Price ($)</t>
    </r>
    <r>
      <rPr>
        <b/>
        <vertAlign val="superscript"/>
        <sz val="11"/>
        <rFont val="Times New Roman"/>
        <family val="1"/>
      </rPr>
      <t>A</t>
    </r>
  </si>
  <si>
    <t>Number of Units</t>
  </si>
  <si>
    <t>Total Cost ($)</t>
  </si>
  <si>
    <t>Tractor-70HP, 4WD</t>
  </si>
  <si>
    <t>70HP, 4WD</t>
  </si>
  <si>
    <t>Tractor-40HP, 4WD</t>
  </si>
  <si>
    <t>40HP, 4WD</t>
  </si>
  <si>
    <t>4-Wheeler</t>
  </si>
  <si>
    <t>2WD</t>
  </si>
  <si>
    <t>Speed Sprayer</t>
  </si>
  <si>
    <t>Weed Spray Boom &amp; Tank</t>
  </si>
  <si>
    <t>Mower-Rotary</t>
  </si>
  <si>
    <t>7 ft</t>
  </si>
  <si>
    <t>Flail Mower</t>
  </si>
  <si>
    <t>Fork Lift</t>
  </si>
  <si>
    <t>Bin Trailer</t>
  </si>
  <si>
    <t>Pickup Truck</t>
  </si>
  <si>
    <t>Full size</t>
  </si>
  <si>
    <t>Ladder</t>
  </si>
  <si>
    <t>8 ft</t>
  </si>
  <si>
    <t>Platforms</t>
  </si>
  <si>
    <t xml:space="preserve">Notes: </t>
  </si>
  <si>
    <t>A. Purchase price corresponds to new machinery, equipment or building.</t>
  </si>
  <si>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</si>
  <si>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</si>
  <si>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</si>
  <si>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t>Total Purchase Price ($)</t>
  </si>
  <si>
    <r>
      <t>Salvage Value ($)</t>
    </r>
    <r>
      <rPr>
        <b/>
        <vertAlign val="superscript"/>
        <sz val="11"/>
        <color indexed="8"/>
        <rFont val="Times New Roman"/>
        <family val="1"/>
      </rPr>
      <t>A</t>
    </r>
  </si>
  <si>
    <t>Number of Acres</t>
  </si>
  <si>
    <t>Total Interest Cost ($)</t>
  </si>
  <si>
    <r>
      <t>Interest Cost Per Acre ($)</t>
    </r>
    <r>
      <rPr>
        <b/>
        <vertAlign val="superscript"/>
        <sz val="11"/>
        <color indexed="8"/>
        <rFont val="Times New Roman"/>
        <family val="1"/>
      </rPr>
      <t>B</t>
    </r>
  </si>
  <si>
    <r>
      <t>Irrigation System</t>
    </r>
    <r>
      <rPr>
        <vertAlign val="superscript"/>
        <sz val="11"/>
        <rFont val="Times New Roman"/>
        <family val="1"/>
      </rPr>
      <t>C</t>
    </r>
  </si>
  <si>
    <t>Land</t>
  </si>
  <si>
    <t>N/A</t>
  </si>
  <si>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</si>
  <si>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</si>
  <si>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</si>
  <si>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</si>
  <si>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</si>
  <si>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t>Interest Rate</t>
  </si>
  <si>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</si>
  <si>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</si>
  <si>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Total Value Per Acre ($)</t>
  </si>
  <si>
    <t>Years of Useful Life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</si>
  <si>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</si>
  <si>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</si>
  <si>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</si>
  <si>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t>Cost per Unit ($)</t>
  </si>
  <si>
    <t>Units per Acre</t>
  </si>
  <si>
    <t>Cost per Acre ($)</t>
  </si>
  <si>
    <t>Total Cost for Block ($)</t>
  </si>
  <si>
    <t>Year 1</t>
  </si>
  <si>
    <t>Mainline and Pump</t>
  </si>
  <si>
    <r>
      <t>Pond and filters with liners (custom)</t>
    </r>
    <r>
      <rPr>
        <vertAlign val="superscript"/>
        <sz val="11"/>
        <rFont val="Times New Roman"/>
        <family val="1"/>
      </rPr>
      <t>B</t>
    </r>
  </si>
  <si>
    <r>
      <t>Pruning and Training (labor)</t>
    </r>
    <r>
      <rPr>
        <vertAlign val="superscript"/>
        <sz val="11"/>
        <rFont val="Times New Roman"/>
        <family val="1"/>
      </rPr>
      <t>C</t>
    </r>
  </si>
  <si>
    <t>Irrigation Water</t>
  </si>
  <si>
    <t>Irrigation/Electric Charge</t>
  </si>
  <si>
    <t>A. Includes land for roads and buildings.</t>
  </si>
  <si>
    <t xml:space="preserve">B. Costs assume a lined pond.  </t>
  </si>
  <si>
    <r>
      <t>Pruning and Training (labor)</t>
    </r>
    <r>
      <rPr>
        <vertAlign val="superscript"/>
        <sz val="11"/>
        <rFont val="Times New Roman"/>
        <family val="1"/>
      </rPr>
      <t>A</t>
    </r>
  </si>
  <si>
    <r>
      <t>Management Overhead</t>
    </r>
    <r>
      <rPr>
        <vertAlign val="superscript"/>
        <sz val="11"/>
        <rFont val="Times New Roman"/>
        <family val="1"/>
      </rPr>
      <t>J</t>
    </r>
  </si>
  <si>
    <t>J. Includes management salary, cellphone, gas, etc.</t>
  </si>
  <si>
    <r>
      <t>Expected useful life (years)</t>
    </r>
    <r>
      <rPr>
        <b/>
        <vertAlign val="superscript"/>
        <sz val="11"/>
        <rFont val="Times New Roman"/>
        <family val="1"/>
      </rPr>
      <t>E</t>
    </r>
  </si>
  <si>
    <r>
      <t>Annual Depreciation Cost ($)</t>
    </r>
    <r>
      <rPr>
        <b/>
        <vertAlign val="superscript"/>
        <sz val="11"/>
        <rFont val="Times New Roman"/>
        <family val="1"/>
      </rPr>
      <t>G</t>
    </r>
  </si>
  <si>
    <r>
      <t>Annual Depreciation Cost per Acre ($)</t>
    </r>
    <r>
      <rPr>
        <b/>
        <vertAlign val="superscript"/>
        <sz val="11"/>
        <color theme="1"/>
        <rFont val="Times New Roman"/>
        <family val="1"/>
      </rPr>
      <t>H</t>
    </r>
  </si>
  <si>
    <r>
      <t>Salvage Value ($)</t>
    </r>
    <r>
      <rPr>
        <b/>
        <vertAlign val="superscript"/>
        <sz val="11"/>
        <rFont val="Times New Roman"/>
        <family val="1"/>
      </rPr>
      <t>F</t>
    </r>
  </si>
  <si>
    <r>
      <t>Machine shop/shed</t>
    </r>
    <r>
      <rPr>
        <vertAlign val="superscript"/>
        <sz val="11"/>
        <rFont val="Times New Roman"/>
        <family val="1"/>
      </rPr>
      <t>A</t>
    </r>
  </si>
  <si>
    <t>4 wheeler</t>
  </si>
  <si>
    <t>Speed sprayer</t>
  </si>
  <si>
    <t>Weed spray boom &amp; tank</t>
  </si>
  <si>
    <t>Mower-rotary (7 ft)</t>
  </si>
  <si>
    <t>Flail mower</t>
  </si>
  <si>
    <t>Fork lift</t>
  </si>
  <si>
    <t>Bin trailer</t>
  </si>
  <si>
    <t>Pick-up</t>
  </si>
  <si>
    <t>Ladder-8'</t>
  </si>
  <si>
    <r>
      <t>Miscellaneous equipment</t>
    </r>
    <r>
      <rPr>
        <vertAlign val="superscript"/>
        <sz val="11"/>
        <rFont val="Times New Roman"/>
        <family val="1"/>
      </rPr>
      <t>B</t>
    </r>
  </si>
  <si>
    <r>
      <t>Shop equipment</t>
    </r>
    <r>
      <rPr>
        <vertAlign val="superscript"/>
        <sz val="11"/>
        <rFont val="Times New Roman"/>
        <family val="1"/>
      </rPr>
      <t>C</t>
    </r>
  </si>
  <si>
    <t>Total</t>
  </si>
  <si>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</si>
  <si>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</si>
  <si>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</si>
  <si>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</si>
  <si>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</si>
  <si>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</si>
  <si>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t>H. Depreciation cost is divided by total farm acreage (300 acres) in order to derive the per acre cost.</t>
  </si>
  <si>
    <t>Dollar amount to be amortized</t>
  </si>
  <si>
    <r>
      <t>Number of years</t>
    </r>
    <r>
      <rPr>
        <vertAlign val="superscript"/>
        <sz val="11"/>
        <color indexed="8"/>
        <rFont val="Times New Roman"/>
        <family val="1"/>
      </rPr>
      <t>A</t>
    </r>
  </si>
  <si>
    <t>Amortized Amount Per Year</t>
  </si>
  <si>
    <t xml:space="preserve">A. Total life of planting - establishment years </t>
  </si>
  <si>
    <t>Year 6 to 20 (Full Production)</t>
  </si>
  <si>
    <t>Notes</t>
  </si>
  <si>
    <t>Gross Production per acre (lbs)</t>
  </si>
  <si>
    <t>Land cost (value of land with water rights)</t>
  </si>
  <si>
    <t>Fumigation (custom)</t>
  </si>
  <si>
    <t>Rip and disk ground (custom)</t>
  </si>
  <si>
    <t>Including all fertilizer</t>
  </si>
  <si>
    <t>Fertilizer - labor hour</t>
  </si>
  <si>
    <t>Fertilizer - labor cost</t>
  </si>
  <si>
    <t>Tree removal (custom)</t>
  </si>
  <si>
    <t>Includes removal, wood chipping, and incorporating in the soil.</t>
  </si>
  <si>
    <t>Trees</t>
  </si>
  <si>
    <t>Planted trees per acre</t>
  </si>
  <si>
    <t>Tree cost per unit</t>
  </si>
  <si>
    <t>Cost of labor per hour</t>
  </si>
  <si>
    <t>Trellis (total cost)</t>
  </si>
  <si>
    <t>Netting</t>
  </si>
  <si>
    <t>Laterals, sprinklers, sub-lines</t>
  </si>
  <si>
    <t>Mainline</t>
  </si>
  <si>
    <t>Pumps (irrigation and frost), centrifugal</t>
  </si>
  <si>
    <t>Pond and filters with liners (purchase and installation)</t>
  </si>
  <si>
    <t>Hours of pruning</t>
  </si>
  <si>
    <t>Hours of training</t>
  </si>
  <si>
    <t>Thinning</t>
  </si>
  <si>
    <t>Chemicals</t>
  </si>
  <si>
    <t>Cost chemicals, materials</t>
  </si>
  <si>
    <t>Hours of chemical application</t>
  </si>
  <si>
    <t>Fertilizer after Soil Prep</t>
  </si>
  <si>
    <t>Cost of fertilizer - material</t>
  </si>
  <si>
    <t>All foliar fertilizer and ground fertilizer.</t>
  </si>
  <si>
    <t>Hours of fertilizer application</t>
  </si>
  <si>
    <t>Irrigation</t>
  </si>
  <si>
    <t>Water</t>
  </si>
  <si>
    <t>Irrigation/electric charge</t>
  </si>
  <si>
    <t xml:space="preserve">Irrigation </t>
  </si>
  <si>
    <t>Hours of irrigation labor</t>
  </si>
  <si>
    <t>Beehive</t>
  </si>
  <si>
    <t>Cost per bee hive</t>
  </si>
  <si>
    <t>Number of bee hives per acre</t>
  </si>
  <si>
    <t>Maintenance &amp; Repairs</t>
  </si>
  <si>
    <t>Mainline, pump &amp; pond</t>
  </si>
  <si>
    <t>Irrigation system</t>
  </si>
  <si>
    <t>Trellis system</t>
  </si>
  <si>
    <t>Wind machine &amp; alarm system</t>
  </si>
  <si>
    <t>Machinery repair (lump sum)</t>
  </si>
  <si>
    <t>Fuel and lube (lump sum including propane for wind machine)</t>
  </si>
  <si>
    <t xml:space="preserve">Average rate from transporting fruit from the orchard to the warehouse. </t>
  </si>
  <si>
    <t>Packing Cost</t>
  </si>
  <si>
    <t>Other</t>
  </si>
  <si>
    <t>Miscellaneous labor (lump sum) - General labor</t>
  </si>
  <si>
    <t xml:space="preserve">All other labor. Excludes pruning, training, thinning, chemical &amp; fertilizer application, planting, irrigation labor, harvest. </t>
  </si>
  <si>
    <t>Miscellaneous supplies (lump sum)</t>
  </si>
  <si>
    <t>Management Overhead</t>
  </si>
  <si>
    <t xml:space="preserve">Overhead </t>
  </si>
  <si>
    <t>Interest rate</t>
  </si>
  <si>
    <t>Establishment interest rate</t>
  </si>
  <si>
    <t>No. of years to borrow operating capital</t>
  </si>
  <si>
    <t>Total acres in block</t>
  </si>
  <si>
    <t>Total productive acres</t>
  </si>
  <si>
    <t>Tree density per acre</t>
  </si>
  <si>
    <t>Total orchard acres</t>
  </si>
  <si>
    <t>Manual ($/hour)</t>
  </si>
  <si>
    <t>B</t>
  </si>
  <si>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</si>
  <si>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</si>
  <si>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</si>
  <si>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</si>
  <si>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Pruning &amp; Training</t>
    </r>
    <r>
      <rPr>
        <vertAlign val="superscript"/>
        <sz val="11"/>
        <rFont val="Times New Roman"/>
        <family val="1"/>
      </rPr>
      <t>C</t>
    </r>
  </si>
  <si>
    <r>
      <t>General Farm Labor</t>
    </r>
    <r>
      <rPr>
        <vertAlign val="superscript"/>
        <sz val="11"/>
        <rFont val="Times New Roman"/>
        <family val="1"/>
      </rPr>
      <t>H</t>
    </r>
  </si>
  <si>
    <t>Years 6 to 20 (Full Production, Annual Average)</t>
  </si>
  <si>
    <t>Variables</t>
  </si>
  <si>
    <t>Block Specification</t>
  </si>
  <si>
    <t>Return or Cost</t>
  </si>
  <si>
    <t>Description or Activity</t>
  </si>
  <si>
    <t>Yield</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</si>
  <si>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</si>
  <si>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</si>
  <si>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</si>
  <si>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</si>
  <si>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</si>
  <si>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</si>
  <si>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</si>
  <si>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</si>
  <si>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</si>
  <si>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</si>
  <si>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</si>
  <si>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</si>
  <si>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</si>
  <si>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PRODUCTION COSTS</t>
  </si>
  <si>
    <t>Total returns minus total production costs</t>
  </si>
  <si>
    <t>Establishment cost</t>
  </si>
  <si>
    <t>Levels of Enterprise Costs</t>
  </si>
  <si>
    <t>Requirements and Receipts</t>
  </si>
  <si>
    <t>Appendix Table 2. Machinery, equipment, and building requirements for a 300-acre diverse cultivar orchard.</t>
  </si>
  <si>
    <t>Requirements</t>
  </si>
  <si>
    <t xml:space="preserve">Capital Requirements </t>
  </si>
  <si>
    <t>E. See Appendix Table 7 for a detailed calculation of the salvage value of the machinery, equipment and building.</t>
  </si>
  <si>
    <t xml:space="preserve">B. See Appendix Table 7 for calculation of the depreciation cost of the machinery, equipment and building. </t>
  </si>
  <si>
    <r>
      <t>Land includes water rights</t>
    </r>
    <r>
      <rPr>
        <vertAlign val="superscript"/>
        <sz val="11"/>
        <rFont val="Times New Roman"/>
        <family val="1"/>
      </rPr>
      <t>A</t>
    </r>
  </si>
  <si>
    <t>Soil Preparation: fumigation (custom)</t>
  </si>
  <si>
    <t>Soil Preparation: rip and disk ground (custom)</t>
  </si>
  <si>
    <t>Soil Preparation: fertilizer (materials, tractor and labor)</t>
  </si>
  <si>
    <t>Trees: full sized trees (5/8" or better)</t>
  </si>
  <si>
    <t>Irrigation: laterals, sprinklers, sub-lines</t>
  </si>
  <si>
    <t>Irrigation: installation labor</t>
  </si>
  <si>
    <t xml:space="preserve">Year  </t>
  </si>
  <si>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</si>
  <si>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</si>
  <si>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</si>
  <si>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</si>
  <si>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</si>
  <si>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Appendix Table 8. Amortization calculator.</t>
  </si>
  <si>
    <t>Variable</t>
  </si>
  <si>
    <t>Value</t>
  </si>
  <si>
    <t>Block Size</t>
  </si>
  <si>
    <t>12 acres</t>
  </si>
  <si>
    <t>11 acres</t>
  </si>
  <si>
    <t>6 feet</t>
  </si>
  <si>
    <t>14 feet</t>
  </si>
  <si>
    <t>G-12</t>
  </si>
  <si>
    <t>519 trees per acre</t>
  </si>
  <si>
    <t>25 years</t>
  </si>
  <si>
    <t>FOB packinghouse door price ($/lb), large</t>
  </si>
  <si>
    <t>Large: 9.5-row or lower</t>
  </si>
  <si>
    <t>Medium: 9.5 to 10.5-row</t>
  </si>
  <si>
    <t>Small: 11-row or higher</t>
  </si>
  <si>
    <t>FOB packinghouse door price ($/lb), medium</t>
  </si>
  <si>
    <t>FOB packinghouse door price ($/lb), small</t>
  </si>
  <si>
    <t>FOB packinghouse door price ($/lb), cull</t>
  </si>
  <si>
    <t>The total value of bare agricultural land (including senior water rights) is $18,000 per acre with annual property taxes of $120 per acre.</t>
  </si>
  <si>
    <t>2 passes at $150/acre per pass</t>
  </si>
  <si>
    <t>Fertilizer - material cost before planting</t>
  </si>
  <si>
    <t>Soil Preparation: tree removal (custom)</t>
  </si>
  <si>
    <t>Planting (custom)</t>
  </si>
  <si>
    <t>Installation labor, hours</t>
  </si>
  <si>
    <t>Installation labor, cost per hour</t>
  </si>
  <si>
    <t>Hours of blossom thinning labor</t>
  </si>
  <si>
    <t>Hours of green fruit thinning</t>
  </si>
  <si>
    <t>Includes payment for the mechanic</t>
  </si>
  <si>
    <t>Cost of picking labor, manual, per lb</t>
  </si>
  <si>
    <t>Cost of checking, tractor drivers and supervisors, manual, per lb</t>
  </si>
  <si>
    <t>Cost of hauling, per lb</t>
  </si>
  <si>
    <t>Total packing charges per lb</t>
  </si>
  <si>
    <t>Insurance for property (liability insurance)</t>
  </si>
  <si>
    <t>Insurance for farm (yield and revenue)</t>
  </si>
  <si>
    <t>Drying cherries</t>
  </si>
  <si>
    <t>Use helicopter or air blasting</t>
  </si>
  <si>
    <t>Trees: planting (custom)</t>
  </si>
  <si>
    <t>Price per unit = $35,000 plus $5,000 pad and $3,500 autostart; Price includes installation; 1 unit per 10 acres</t>
  </si>
  <si>
    <t>Insurance (farm and property)</t>
  </si>
  <si>
    <t xml:space="preserve">B. These are packinghouse door prices. They reflect the return before any expenses are subtracted. </t>
  </si>
  <si>
    <r>
      <t>Estimated FOB Price ($/lb)</t>
    </r>
    <r>
      <rPr>
        <vertAlign val="superscript"/>
        <sz val="11"/>
        <rFont val="Times New Roman"/>
        <family val="1"/>
      </rPr>
      <t>B</t>
    </r>
    <r>
      <rPr>
        <sz val="11"/>
        <rFont val="Times New Roman"/>
        <family val="1"/>
      </rPr>
      <t>, large</t>
    </r>
  </si>
  <si>
    <r>
      <t>Estimated FOB Price ($/lb)</t>
    </r>
    <r>
      <rPr>
        <vertAlign val="superscript"/>
        <sz val="11"/>
        <rFont val="Times New Roman"/>
        <family val="1"/>
      </rPr>
      <t>B</t>
    </r>
    <r>
      <rPr>
        <sz val="11"/>
        <rFont val="Times New Roman"/>
        <family val="1"/>
      </rPr>
      <t>, medium</t>
    </r>
  </si>
  <si>
    <r>
      <t>Estimated FOB Price ($/lb)</t>
    </r>
    <r>
      <rPr>
        <vertAlign val="superscript"/>
        <sz val="11"/>
        <rFont val="Times New Roman"/>
        <family val="1"/>
      </rPr>
      <t>B</t>
    </r>
    <r>
      <rPr>
        <sz val="11"/>
        <rFont val="Times New Roman"/>
        <family val="1"/>
      </rPr>
      <t>, small</t>
    </r>
  </si>
  <si>
    <r>
      <t>Estimated Net Production (lb/acre)</t>
    </r>
    <r>
      <rPr>
        <vertAlign val="superscript"/>
        <sz val="11"/>
        <rFont val="Times New Roman"/>
        <family val="1"/>
      </rPr>
      <t>A</t>
    </r>
    <r>
      <rPr>
        <sz val="11"/>
        <rFont val="Times New Roman"/>
        <family val="1"/>
      </rPr>
      <t>, large</t>
    </r>
  </si>
  <si>
    <r>
      <t>Estimated Net Production (lb/acre)</t>
    </r>
    <r>
      <rPr>
        <vertAlign val="superscript"/>
        <sz val="11"/>
        <rFont val="Times New Roman"/>
        <family val="1"/>
      </rPr>
      <t>A</t>
    </r>
    <r>
      <rPr>
        <sz val="11"/>
        <rFont val="Times New Roman"/>
        <family val="1"/>
      </rPr>
      <t>, medium</t>
    </r>
  </si>
  <si>
    <r>
      <t>Estimated Net Production (lb/acre)</t>
    </r>
    <r>
      <rPr>
        <vertAlign val="superscript"/>
        <sz val="11"/>
        <rFont val="Times New Roman"/>
        <family val="1"/>
      </rPr>
      <t>A</t>
    </r>
    <r>
      <rPr>
        <sz val="11"/>
        <rFont val="Times New Roman"/>
        <family val="1"/>
      </rPr>
      <t>, small</t>
    </r>
  </si>
  <si>
    <r>
      <t>Estimated Net Production (lb/acre)</t>
    </r>
    <r>
      <rPr>
        <vertAlign val="superscript"/>
        <sz val="11"/>
        <rFont val="Times New Roman"/>
        <family val="1"/>
      </rPr>
      <t>A</t>
    </r>
    <r>
      <rPr>
        <sz val="11"/>
        <rFont val="Times New Roman"/>
        <family val="1"/>
      </rPr>
      <t>, cull</t>
    </r>
  </si>
  <si>
    <r>
      <t>Estimated FOB Price ($/lb)</t>
    </r>
    <r>
      <rPr>
        <vertAlign val="superscript"/>
        <sz val="11"/>
        <rFont val="Times New Roman"/>
        <family val="1"/>
      </rPr>
      <t>B</t>
    </r>
    <r>
      <rPr>
        <sz val="11"/>
        <rFont val="Times New Roman"/>
        <family val="1"/>
      </rPr>
      <t>, cull</t>
    </r>
  </si>
  <si>
    <t xml:space="preserve">Management salary is valued at $700 per acre. </t>
  </si>
  <si>
    <t xml:space="preserve">All chemicals (fungicide, fireblight prevention, disease prevention, insecticide, herbicide). </t>
  </si>
  <si>
    <t>Chemical and fertilizer application, irrigation labor</t>
  </si>
  <si>
    <t>C. Hand labor rate is $21.63/hour and includes all applicable taxes and benefits.</t>
  </si>
  <si>
    <t>Cultural practices and harvest activities are done by using a combination of manual labor, ladders and labor-enhancing equipment. The hourly manual labor rate is $21.63/hour, calculated using the minimum wage for 2026 of $17.13/hour, plus H2A fixed cost of $4.50/hour. For chemical and fertilizer application, irrigation and frost protection, labor rate is $22.63/hour, a dollar more than manual labor rate. These labor rates are assumed the same for all years of production.</t>
  </si>
  <si>
    <t>Netting, material</t>
  </si>
  <si>
    <t>Deployment and roll back, labor</t>
  </si>
  <si>
    <t>Wind Machine (cost of unit per acre) installed in Year 4</t>
  </si>
  <si>
    <r>
      <t>Netting</t>
    </r>
    <r>
      <rPr>
        <vertAlign val="superscript"/>
        <sz val="11"/>
        <rFont val="Times New Roman"/>
        <family val="1"/>
      </rPr>
      <t>C</t>
    </r>
  </si>
  <si>
    <t>Netting (deploy and pull back), labor</t>
  </si>
  <si>
    <t>Netting (deploy and pull back)</t>
  </si>
  <si>
    <t xml:space="preserve">Netting </t>
  </si>
  <si>
    <t xml:space="preserve">A. Estimated net production considers the respective portions of gross yield that are classified as large, medium, small and cull. </t>
  </si>
  <si>
    <r>
      <t>Thinning</t>
    </r>
    <r>
      <rPr>
        <vertAlign val="superscript"/>
        <sz val="11"/>
        <rFont val="Times New Roman"/>
        <family val="1"/>
      </rPr>
      <t>C</t>
    </r>
  </si>
  <si>
    <t>D. Includes materials and labor.</t>
  </si>
  <si>
    <r>
      <t>Chemicals</t>
    </r>
    <r>
      <rPr>
        <vertAlign val="superscript"/>
        <sz val="11"/>
        <rFont val="Times New Roman"/>
        <family val="1"/>
      </rPr>
      <t>D,E</t>
    </r>
  </si>
  <si>
    <r>
      <t>Fertilizer</t>
    </r>
    <r>
      <rPr>
        <vertAlign val="superscript"/>
        <sz val="11"/>
        <rFont val="Times New Roman"/>
        <family val="1"/>
      </rPr>
      <t>D,E</t>
    </r>
  </si>
  <si>
    <t xml:space="preserve">E. Tractor/machinery labor for chemical application, fertilizer application and irrigation is $22.63 per hour, including all applicable taxes and benefits. </t>
  </si>
  <si>
    <r>
      <t>Irrigation Labor</t>
    </r>
    <r>
      <rPr>
        <vertAlign val="superscript"/>
        <sz val="11"/>
        <rFont val="Times New Roman"/>
        <family val="1"/>
      </rPr>
      <t>E</t>
    </r>
  </si>
  <si>
    <r>
      <t>Netting Labor</t>
    </r>
    <r>
      <rPr>
        <vertAlign val="superscript"/>
        <sz val="11"/>
        <rFont val="Times New Roman"/>
        <family val="1"/>
      </rPr>
      <t>F</t>
    </r>
  </si>
  <si>
    <t>F. Labor cost to deploy and pull back.</t>
  </si>
  <si>
    <r>
      <t>General Farm Labor</t>
    </r>
    <r>
      <rPr>
        <vertAlign val="superscript"/>
        <sz val="11"/>
        <rFont val="Times New Roman"/>
        <family val="1"/>
      </rPr>
      <t>G</t>
    </r>
  </si>
  <si>
    <t>G. General farm labor rate is a lump sum per acre and applied to miscellaneous/all other labor. Rate includes applicable taxes and benefits.</t>
  </si>
  <si>
    <r>
      <t>Picking Labor</t>
    </r>
    <r>
      <rPr>
        <vertAlign val="superscript"/>
        <sz val="11"/>
        <rFont val="Times New Roman"/>
        <family val="1"/>
      </rPr>
      <t>H</t>
    </r>
  </si>
  <si>
    <r>
      <t>Other Labor (checkers, tractor drivers, supervisors)</t>
    </r>
    <r>
      <rPr>
        <vertAlign val="superscript"/>
        <sz val="11"/>
        <rFont val="Times New Roman"/>
        <family val="1"/>
      </rPr>
      <t>H</t>
    </r>
  </si>
  <si>
    <t>Warehouse Packing Charges</t>
  </si>
  <si>
    <r>
      <t>Overhead (5% of Variable Costs)</t>
    </r>
    <r>
      <rPr>
        <vertAlign val="superscript"/>
        <sz val="11"/>
        <rFont val="Times New Roman"/>
        <family val="1"/>
      </rPr>
      <t>I</t>
    </r>
  </si>
  <si>
    <r>
      <t>Interest (5% of Variable Costs)</t>
    </r>
    <r>
      <rPr>
        <vertAlign val="superscript"/>
        <sz val="11"/>
        <rFont val="Times New Roman"/>
        <family val="1"/>
      </rPr>
      <t>J</t>
    </r>
  </si>
  <si>
    <t>I. Captures indirect costs of operations in the orchard that fluctuate with the level of production but are not accounted by the variable costs already identified. Also captures unforeseeable expenses.</t>
  </si>
  <si>
    <t>J. Interest expense on full year during establishment years and for 3/4 of a year during full production.</t>
  </si>
  <si>
    <r>
      <t>Land</t>
    </r>
    <r>
      <rPr>
        <vertAlign val="superscript"/>
        <sz val="11"/>
        <rFont val="Times New Roman"/>
        <family val="1"/>
      </rPr>
      <t>K</t>
    </r>
  </si>
  <si>
    <r>
      <t>Amortized Establishment Costs</t>
    </r>
    <r>
      <rPr>
        <vertAlign val="superscript"/>
        <sz val="11"/>
        <rFont val="Times New Roman"/>
        <family val="1"/>
      </rPr>
      <t>L</t>
    </r>
  </si>
  <si>
    <t>L. Represents the costs incurred during the establishment years (minus revenues during those years) that must be recaptured during the full production years. It is calculated as: accumulated establishment costs in Year 5 amortized at 5% for 20 years.</t>
  </si>
  <si>
    <t>K. Land cost is approximated by using the 5% interest rate multiplied by the land value of $18,000 per acre.</t>
  </si>
  <si>
    <t>Years 6 to 25 (Full Production, Annual Average)</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</si>
  <si>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25).</t>
    </r>
  </si>
  <si>
    <t>C. Hand labor rate is $21.63/hour and includes applicable taxes and benefits. Applied to pruning, training, thinning and weed control.</t>
  </si>
  <si>
    <r>
      <t>Thinning (labor)</t>
    </r>
    <r>
      <rPr>
        <vertAlign val="superscript"/>
        <sz val="11"/>
        <rFont val="Times New Roman"/>
        <family val="1"/>
      </rPr>
      <t>C</t>
    </r>
  </si>
  <si>
    <t>Chemicals, materials</t>
  </si>
  <si>
    <t>D. Tractor/machinery or higher skilled labor rate is $22.63/hour and includes applicable taxes and benefits. This rate is applied to chemical application, fertilizer application (after soil preparation) and irrigation.</t>
  </si>
  <si>
    <r>
      <t>Chemicals, labor</t>
    </r>
    <r>
      <rPr>
        <vertAlign val="superscript"/>
        <sz val="11"/>
        <rFont val="Times New Roman"/>
        <family val="1"/>
      </rPr>
      <t>D</t>
    </r>
  </si>
  <si>
    <t>E. Includes all types of fertilizer used.</t>
  </si>
  <si>
    <r>
      <t>Fertilizer</t>
    </r>
    <r>
      <rPr>
        <vertAlign val="superscript"/>
        <sz val="11"/>
        <rFont val="Times New Roman"/>
        <family val="1"/>
      </rPr>
      <t>E</t>
    </r>
    <r>
      <rPr>
        <sz val="11"/>
        <rFont val="Times New Roman"/>
        <family val="1"/>
      </rPr>
      <t>, materials</t>
    </r>
  </si>
  <si>
    <r>
      <t>Fertilizer, labor</t>
    </r>
    <r>
      <rPr>
        <vertAlign val="superscript"/>
        <sz val="11"/>
        <rFont val="Times New Roman"/>
        <family val="1"/>
      </rPr>
      <t>D</t>
    </r>
  </si>
  <si>
    <r>
      <t>Irrigation Labor</t>
    </r>
    <r>
      <rPr>
        <vertAlign val="superscript"/>
        <sz val="11"/>
        <rFont val="Times New Roman"/>
        <family val="1"/>
      </rPr>
      <t>D</t>
    </r>
  </si>
  <si>
    <t>F. Includes maintenance and repairs of mainline, pump and pond; irrigation system; trellis system; wind machine and alarm system and machinery.</t>
  </si>
  <si>
    <r>
      <t>Maintenance &amp; Repair</t>
    </r>
    <r>
      <rPr>
        <vertAlign val="superscript"/>
        <sz val="11"/>
        <rFont val="Times New Roman"/>
        <family val="1"/>
      </rPr>
      <t>F</t>
    </r>
  </si>
  <si>
    <t>G. Fuel and lube cost includes propane cost for wind machine starting Year 3.</t>
  </si>
  <si>
    <r>
      <t>Fuel &amp; Lube</t>
    </r>
    <r>
      <rPr>
        <vertAlign val="superscript"/>
        <sz val="11"/>
        <rFont val="Times New Roman"/>
        <family val="1"/>
      </rPr>
      <t>G</t>
    </r>
  </si>
  <si>
    <t>H.  Refers to miscellaneous or all other labor (lump sum). Rate includes applicable taxes and benefits.</t>
  </si>
  <si>
    <t>Insurance Cost (farm and property)</t>
  </si>
  <si>
    <t>I. Includes different types of insurance: yield, revenue, and property liability.</t>
  </si>
  <si>
    <r>
      <t>Insurance (farm and property)</t>
    </r>
    <r>
      <rPr>
        <vertAlign val="superscript"/>
        <sz val="11"/>
        <rFont val="Times New Roman"/>
        <family val="1"/>
      </rPr>
      <t>I</t>
    </r>
  </si>
  <si>
    <r>
      <t>Wind Machine (unit and installation labor)</t>
    </r>
    <r>
      <rPr>
        <vertAlign val="superscript"/>
        <sz val="11"/>
        <rFont val="Times New Roman"/>
        <family val="1"/>
      </rPr>
      <t>K</t>
    </r>
  </si>
  <si>
    <r>
      <t>Thinning (labor)</t>
    </r>
    <r>
      <rPr>
        <vertAlign val="superscript"/>
        <sz val="11"/>
        <rFont val="Times New Roman"/>
        <family val="1"/>
      </rPr>
      <t>A</t>
    </r>
  </si>
  <si>
    <t>A. Hand labor rate is $21.63/hour and includes applicable taxes and benefits. Applied to pruning, training, thinning and weed control.</t>
  </si>
  <si>
    <r>
      <t>Chemicals, labor</t>
    </r>
    <r>
      <rPr>
        <vertAlign val="superscript"/>
        <sz val="11"/>
        <rFont val="Times New Roman"/>
        <family val="1"/>
      </rPr>
      <t>B</t>
    </r>
  </si>
  <si>
    <t>B. Tractor/machinery or higher skilled labor rate is $22.63/hour and includes applicable taxes and benefits. This rate is applied to chemical application, fertilizer application (after soil preparation) and irrigation.</t>
  </si>
  <si>
    <t>C. Includes all types of fertilizer used.</t>
  </si>
  <si>
    <r>
      <t>Fertilizer</t>
    </r>
    <r>
      <rPr>
        <vertAlign val="superscript"/>
        <sz val="11"/>
        <rFont val="Times New Roman"/>
        <family val="1"/>
      </rPr>
      <t>C</t>
    </r>
    <r>
      <rPr>
        <sz val="11"/>
        <rFont val="Times New Roman"/>
        <family val="1"/>
      </rPr>
      <t>, materials</t>
    </r>
  </si>
  <si>
    <r>
      <t>Fertilizer, labor</t>
    </r>
    <r>
      <rPr>
        <vertAlign val="superscript"/>
        <sz val="11"/>
        <rFont val="Times New Roman"/>
        <family val="1"/>
      </rPr>
      <t>B</t>
    </r>
  </si>
  <si>
    <r>
      <t>Irrigation Labor</t>
    </r>
    <r>
      <rPr>
        <vertAlign val="superscript"/>
        <sz val="11"/>
        <rFont val="Times New Roman"/>
        <family val="1"/>
      </rPr>
      <t>B</t>
    </r>
  </si>
  <si>
    <t>D. Includes maintenance and repairs of mainline, pump and pond; irrigation system; trellis system; wind machine and alarm system and machinery.</t>
  </si>
  <si>
    <r>
      <t>Maintenance &amp; Repair</t>
    </r>
    <r>
      <rPr>
        <vertAlign val="superscript"/>
        <sz val="11"/>
        <rFont val="Times New Roman"/>
        <family val="1"/>
      </rPr>
      <t>D</t>
    </r>
  </si>
  <si>
    <t>E. Fuel and Lube cost includes propane cost for wind machine.</t>
  </si>
  <si>
    <r>
      <t>Fuel &amp; Lube</t>
    </r>
    <r>
      <rPr>
        <vertAlign val="superscript"/>
        <sz val="11"/>
        <rFont val="Times New Roman"/>
        <family val="1"/>
      </rPr>
      <t>E</t>
    </r>
  </si>
  <si>
    <r>
      <t>General Farm Labor</t>
    </r>
    <r>
      <rPr>
        <vertAlign val="superscript"/>
        <sz val="11"/>
        <rFont val="Times New Roman"/>
        <family val="1"/>
      </rPr>
      <t>F</t>
    </r>
  </si>
  <si>
    <t>F. Refers to miscellaneous or all other labor (lump sum). Rate includes applicable taxes and benefits.</t>
  </si>
  <si>
    <t>G. Includes management salary, cellphone, gas, etc.</t>
  </si>
  <si>
    <r>
      <t>Management Overhead</t>
    </r>
    <r>
      <rPr>
        <vertAlign val="superscript"/>
        <sz val="11"/>
        <rFont val="Times New Roman"/>
        <family val="1"/>
      </rPr>
      <t>G</t>
    </r>
  </si>
  <si>
    <r>
      <t>Reflective Cover Labor</t>
    </r>
    <r>
      <rPr>
        <vertAlign val="superscript"/>
        <sz val="11"/>
        <rFont val="Times New Roman"/>
        <family val="1"/>
      </rPr>
      <t>F</t>
    </r>
  </si>
  <si>
    <t xml:space="preserve">Reflective Cover  </t>
  </si>
  <si>
    <t>Reflective Cover</t>
  </si>
  <si>
    <r>
      <t>Reflective Cover</t>
    </r>
    <r>
      <rPr>
        <vertAlign val="superscript"/>
        <sz val="11"/>
        <rFont val="Times New Roman"/>
        <family val="1"/>
      </rPr>
      <t>C</t>
    </r>
  </si>
  <si>
    <t>Reflective Cover, material</t>
  </si>
  <si>
    <t>Reflective Cover, labor</t>
  </si>
  <si>
    <t>Reflective cover, material</t>
  </si>
  <si>
    <t>Culls</t>
  </si>
  <si>
    <r>
      <t>Total Cash Costs</t>
    </r>
    <r>
      <rPr>
        <vertAlign val="superscript"/>
        <sz val="11"/>
        <rFont val="Times New Roman"/>
        <family val="1"/>
      </rPr>
      <t>C</t>
    </r>
  </si>
  <si>
    <t>Total Cash Costs + Depreciation Costs</t>
  </si>
  <si>
    <r>
      <t>Total Cost</t>
    </r>
    <r>
      <rPr>
        <vertAlign val="superscript"/>
        <sz val="11"/>
        <rFont val="Times New Roman"/>
        <family val="1"/>
      </rPr>
      <t>F</t>
    </r>
  </si>
  <si>
    <r>
      <t>Break-even Return</t>
    </r>
    <r>
      <rPr>
        <b/>
        <vertAlign val="superscript"/>
        <sz val="11"/>
        <rFont val="Times New Roman"/>
        <family val="1"/>
      </rPr>
      <t>A</t>
    </r>
    <r>
      <rPr>
        <b/>
        <sz val="11"/>
        <rFont val="Times New Roman"/>
        <family val="1"/>
      </rPr>
      <t xml:space="preserve"> by Grade ($ per lb)</t>
    </r>
  </si>
  <si>
    <t xml:space="preserve">B. If the return is below this level, sweet cherries are uneconomical to produce. </t>
  </si>
  <si>
    <t>Proportional Cost by Size ($/acre)</t>
  </si>
  <si>
    <t>Gross yield</t>
  </si>
  <si>
    <t>FOB price ($/lb), large</t>
  </si>
  <si>
    <t>FOB price ($/lb), medium</t>
  </si>
  <si>
    <t>FOB price ($/lb), small</t>
  </si>
  <si>
    <t>FOB price ($/lb), cull</t>
  </si>
  <si>
    <t>Picking labor cost ($/lb)</t>
  </si>
  <si>
    <t>Hauling cost ($/lb)</t>
  </si>
  <si>
    <t>Interest rate (%)</t>
  </si>
  <si>
    <t>Overhead (%)</t>
  </si>
  <si>
    <t>Packing charges ($/lb)</t>
  </si>
  <si>
    <r>
      <t>Size distribution: Medium, % of gross yield</t>
    </r>
    <r>
      <rPr>
        <vertAlign val="superscript"/>
        <sz val="11"/>
        <color rgb="FF000000"/>
        <rFont val="Times New Roman"/>
        <family val="1"/>
      </rPr>
      <t>†</t>
    </r>
  </si>
  <si>
    <r>
      <t>Size distribution: Large, % of gross yield</t>
    </r>
    <r>
      <rPr>
        <vertAlign val="superscript"/>
        <sz val="11"/>
        <color rgb="FF000000"/>
        <rFont val="Times New Roman"/>
        <family val="1"/>
      </rPr>
      <t>†</t>
    </r>
  </si>
  <si>
    <r>
      <t>Size distribution: Small, % of gross yield</t>
    </r>
    <r>
      <rPr>
        <vertAlign val="superscript"/>
        <sz val="11"/>
        <color rgb="FF000000"/>
        <rFont val="Times New Roman"/>
        <family val="1"/>
      </rPr>
      <t>†</t>
    </r>
  </si>
  <si>
    <r>
      <t>Size distribution:  Cull, % of gross yield</t>
    </r>
    <r>
      <rPr>
        <vertAlign val="superscript"/>
        <sz val="11"/>
        <color rgb="FF000000"/>
        <rFont val="Times New Roman"/>
        <family val="1"/>
      </rPr>
      <t>†</t>
    </r>
  </si>
  <si>
    <r>
      <t>Other harvest labor cost ($/lb)</t>
    </r>
    <r>
      <rPr>
        <vertAlign val="superscript"/>
        <sz val="11"/>
        <color rgb="FF000000"/>
        <rFont val="Times New Roman"/>
        <family val="1"/>
      </rPr>
      <t>‡</t>
    </r>
  </si>
  <si>
    <r>
      <rPr>
        <sz val="10"/>
        <color rgb="FF000000"/>
        <rFont val="Times New Roman"/>
        <family val="1"/>
      </rPr>
      <t>‡</t>
    </r>
    <r>
      <rPr>
        <vertAlign val="superscript"/>
        <sz val="10"/>
        <color rgb="FF000000"/>
        <rFont val="Times New Roman"/>
        <family val="1"/>
      </rPr>
      <t xml:space="preserve"> </t>
    </r>
    <r>
      <rPr>
        <sz val="10"/>
        <color indexed="8"/>
        <rFont val="Times New Roman"/>
        <family val="1"/>
      </rPr>
      <t>Refers to checking, tractor drivers and supervisors.</t>
    </r>
  </si>
  <si>
    <t>† Important note: When changing the percentages of size distribution, they must sum up to 100%.</t>
  </si>
  <si>
    <t>Size distribution: Percent of gross yield, large</t>
  </si>
  <si>
    <t>Size distribution: Percent of gross yield, medium</t>
  </si>
  <si>
    <t>Size distribution: Percent of gross yield, small</t>
  </si>
  <si>
    <t>Size distribution: Percent of gross yield, cull</t>
  </si>
  <si>
    <t>Table 3.2. Values that can be changed to calculate break-even returns.</t>
  </si>
  <si>
    <r>
      <t xml:space="preserve">A. The breakeven return per size is obtained as follows: </t>
    </r>
    <r>
      <rPr>
        <i/>
        <sz val="10"/>
        <color rgb="FF000000"/>
        <rFont val="Times New Roman"/>
        <family val="1"/>
      </rPr>
      <t>proportional cost divided by the  yield of each cherry size</t>
    </r>
    <r>
      <rPr>
        <sz val="10"/>
        <color indexed="8"/>
        <rFont val="Times New Roman"/>
        <family val="1"/>
      </rPr>
      <t xml:space="preserve">. </t>
    </r>
  </si>
  <si>
    <t>Instruction</t>
  </si>
  <si>
    <t>Steps</t>
  </si>
  <si>
    <t xml:space="preserve">Item </t>
  </si>
  <si>
    <t>Assumption</t>
  </si>
  <si>
    <t>It is assumed that warehouse will cover additional transportation expenses (if any) when the orchard is located in remote areas.</t>
  </si>
  <si>
    <t xml:space="preserve">*This table shows breakeven returns for different levels of total enterprise cost. </t>
  </si>
  <si>
    <t>For each cost level, there are four breakeven returns—one for each sweet cherry size—and they should be viewed as a group that occurs together.</t>
  </si>
  <si>
    <t>The enterprise breaks even only when all four returns are achieved at the same time. The breakeven returns are calculated by sharing total costs</t>
  </si>
  <si>
    <t xml:space="preserve">C. The irrigation system, reflective cover, netting, mainline and pump, pond, trellis system and wind machine are used for the direct production of  the fruit. </t>
  </si>
  <si>
    <t>Hence, their respective interest costs are divided by the production area (11 acres) to get the interest cost per acre.</t>
  </si>
  <si>
    <t>D. Total area of the farm operation is 300 acres and the machinery, equipment, and building are used in the entire, diverse cultivar farm.</t>
  </si>
  <si>
    <t>Thus, the corresponding interest costs are divided by the total area (300 acres) to derive the interest cost per acre.</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</si>
  <si>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t>
    </r>
  </si>
  <si>
    <t>However, it may be zero if the asset will be used until it is completely worn out and will have no scrap value at the end of its useful life.</t>
  </si>
  <si>
    <t>2-leader non-formal V</t>
  </si>
  <si>
    <t>Sweet Cherry Size</t>
  </si>
  <si>
    <t xml:space="preserve">Large </t>
  </si>
  <si>
    <t>Medium</t>
  </si>
  <si>
    <t xml:space="preserve">Small </t>
  </si>
  <si>
    <t>Picking begins in Year 3</t>
  </si>
  <si>
    <t>Hours of summer pruning</t>
  </si>
  <si>
    <t xml:space="preserve">FOB Price </t>
  </si>
  <si>
    <t>Crop Yield</t>
  </si>
  <si>
    <t>Soil Prep</t>
  </si>
  <si>
    <t>Irrigation Installation</t>
  </si>
  <si>
    <t>Pruning and Training</t>
  </si>
  <si>
    <t>Summer Pruning</t>
  </si>
  <si>
    <t>Harvest</t>
  </si>
  <si>
    <t>Base = $17.13/hour, plus H2A fixed cost = $4.50/hour.</t>
  </si>
  <si>
    <t>Additional $1/hour to base rate of manual labor, plus H2A fixed cost.</t>
  </si>
  <si>
    <t>Labor Rate</t>
  </si>
  <si>
    <r>
      <t>2026 Cost and Return Estimates of Establishing, Producing and Packing Yellow Sweet Cherries</t>
    </r>
    <r>
      <rPr>
        <b/>
        <vertAlign val="superscript"/>
        <sz val="14"/>
        <color theme="1"/>
        <rFont val="Times New Roman"/>
        <family val="1"/>
      </rPr>
      <t xml:space="preserve"> </t>
    </r>
    <r>
      <rPr>
        <b/>
        <sz val="14"/>
        <color theme="1"/>
        <rFont val="Times New Roman"/>
        <family val="1"/>
      </rPr>
      <t>in Washington</t>
    </r>
  </si>
  <si>
    <t>The main data source for the calculations is Appendix 5 (Data for tables). Changing the orange-colored values in Appendix Table 9, as well as in other worksheets (Mach Etc Req., Interest, Depreciation, Salv Value &amp; Dep Calc, and Amort Calc) will automatically change the values in the remaining worksheets, including the summary table, "Yellow Cherry Budget".</t>
  </si>
  <si>
    <t>Table 1. Yellow sweet cherry block specifications.</t>
  </si>
  <si>
    <t>Table 2. Cost and returns per acre of establishing, producing and packing yellow sweet cherries in a 12-acre orchard block.</t>
  </si>
  <si>
    <t>Table 3.1. Break-even return* for different levels of enterprise costs during full production of yellow sweet cherries.</t>
  </si>
  <si>
    <t>Multiple pass through the field (2 or3 passes per block). First fruit is firmer and more prone to bruising, so pay higher fee for picking.</t>
  </si>
  <si>
    <t>These return shares reflect the assumed mix of cherry sizes produced, which is approximately 50% Large, 30% Medium, 0% Small, and 20% Cull of total yield.</t>
  </si>
  <si>
    <t>across cherry sizes based on their contribution to total returns: about 63.8% for Large cherries, 35.9% for Medium, none for Small, and 0.3% for Cull.</t>
  </si>
  <si>
    <t>Appendix Table 1. Summary of annual capital requirements for a 12-acre yellow sweet cherry block.</t>
  </si>
  <si>
    <t>Machinery, equipment, and building requirements are utilized in growing diverse crops in the 300-acre farm, which include yellow sweet cherries. The costs of fixed capital are allocated on the entire farm operation.</t>
  </si>
  <si>
    <t>Appendix Table 3. Annual interest costs per acre for a 12-acre yellow sweet cherry block.</t>
  </si>
  <si>
    <t>Appendix Table 4. Annual depreciation costs per acre for a 12-acre yellow cherry block.</t>
  </si>
  <si>
    <t>Appendix Table 5. Data on costs during establishment years for a 12-acre yellow sweet cherry block.</t>
  </si>
  <si>
    <t>Appendix Table 6. Data on costs during a full production year for a 12-acre yellow sweet cherry block.</t>
  </si>
  <si>
    <t>Appendix Table 9. Assumptions for establishing, producing, and packing yellow sweet cherries (per acre basis).</t>
  </si>
  <si>
    <t>K. Wind machine is installed in Year 3. One unit is required per 10 acres.</t>
  </si>
  <si>
    <t>H. Picking rate = $0.34/lb in Years 3-4 and $0.33/lb in Years 5-25; Checkers &amp; tractor drivers' rate = $0.15/lb; Hauling rate = $0.05/lb (hauling refers to transportation cost from the orchard to the warehouse.</t>
  </si>
  <si>
    <t>Land (12 acres)</t>
  </si>
  <si>
    <t>Harvest Costs (per lb): picking (multiple picks)</t>
  </si>
  <si>
    <t>Harvest Costs (perlb bin): checkers, tractor drivers and supervisors</t>
  </si>
  <si>
    <t>Harvest Costs (per lb): hauling</t>
  </si>
  <si>
    <t>Packing Costs (per lb)</t>
  </si>
  <si>
    <r>
      <t>Hauling Sweet Cherries</t>
    </r>
    <r>
      <rPr>
        <vertAlign val="superscript"/>
        <sz val="11"/>
        <rFont val="Times New Roman"/>
        <family val="1"/>
      </rPr>
      <t>H</t>
    </r>
  </si>
  <si>
    <t>Harvest Costs (per lb): checkers, tractor drivers and supervisors</t>
  </si>
  <si>
    <r>
      <t xml:space="preserve">Values in </t>
    </r>
    <r>
      <rPr>
        <sz val="11"/>
        <color rgb="FFB34700"/>
        <rFont val="Times New Roman"/>
        <family val="1"/>
      </rPr>
      <t>orange</t>
    </r>
    <r>
      <rPr>
        <sz val="11"/>
        <color indexed="8"/>
        <rFont val="Times New Roman"/>
        <family val="1"/>
      </rPr>
      <t xml:space="preserve"> are provided by growers who participated in the development of this budget. These values can be changed.  </t>
    </r>
  </si>
  <si>
    <r>
      <t>Machine Shop/Shed</t>
    </r>
    <r>
      <rPr>
        <vertAlign val="superscript"/>
        <sz val="11"/>
        <color rgb="FFB34700"/>
        <rFont val="Times New Roman"/>
        <family val="1"/>
      </rPr>
      <t>B</t>
    </r>
  </si>
  <si>
    <r>
      <t>Miscellaneous Equipment</t>
    </r>
    <r>
      <rPr>
        <vertAlign val="superscript"/>
        <sz val="11"/>
        <color rgb="FFB34700"/>
        <rFont val="Times New Roman"/>
        <family val="1"/>
      </rPr>
      <t>C</t>
    </r>
  </si>
  <si>
    <r>
      <t>Shop Equipment</t>
    </r>
    <r>
      <rPr>
        <vertAlign val="superscript"/>
        <sz val="11"/>
        <color rgb="FFB34700"/>
        <rFont val="Times New Roman"/>
        <family val="1"/>
      </rPr>
      <t>D</t>
    </r>
  </si>
  <si>
    <t>Already existing in the orchard.</t>
  </si>
  <si>
    <t>Mainline and pump are already existing in the orchard.</t>
  </si>
  <si>
    <r>
      <rPr>
        <b/>
        <sz val="11"/>
        <rFont val="Times New Roman"/>
        <family val="1"/>
      </rPr>
      <t>The analysis relies primarily on input cost centers representative of the 2025 production year, with labor rates updated to reflect prevailing conditions as of 2026</t>
    </r>
    <r>
      <rPr>
        <sz val="11"/>
        <rFont val="Times New Roman"/>
        <family val="1"/>
      </rPr>
      <t>. To avoid unwarranted conclusions for any particular operation, closely examine the assumptions used. If they are not appropriate for your situation, adjust the costs and/or returns as appropriate.</t>
    </r>
  </si>
  <si>
    <t>Yellow cherries are assumed to be harvested mid-season, that is, between June 19 and July 15. Large fruit correspond to 9.5 row or lower, medium fruit range from 9.5 to 11 row, and small fruit are 11 row or higher.</t>
  </si>
  <si>
    <t>The 48-acre orchard is divided into four equal 12-acre blocks: three planted with mahogany sweet cherries scheduled for early, mid, and late harvest windows, and one planted with yellow sweet cherries. In each block, 1 acre is allocated to infrastructure (roads, pond, loading area, and buildings), resulting in 11 bearing acres per block.</t>
  </si>
  <si>
    <t>The FOB prices depend on size: $4.03/lb for large size cherries; $3.73/lb for medium sizes; and $0.04/lb for cull.</t>
  </si>
  <si>
    <t>Considering the value of land where there had been fruit trees. The trees are removed to plant the yellow dark red sweet cherry block.</t>
  </si>
  <si>
    <t xml:space="preserve">F. Total cost includes interest costs, which consist of both interest on owned capital and actual cash interest payments on borrowed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</si>
</sst>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0.000"/>
    <numFmt numFmtId="166" formatCode="&quot;$&quot;#,##0.00"/>
    <numFmt numFmtId="167" formatCode="0.0%"/>
    <numFmt numFmtId="168" formatCode="#,##0;\ \-\ #,##0\ ;&quot;-&quot;"/>
  </numFmts>
  <fonts count="49"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b/>
      <sz val="14"/>
      <color theme="1"/>
      <name val="Times New Roman"/>
      <family val="1"/>
    </font>
    <font>
      <b/>
      <sz val="11"/>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b/>
      <vertAlign val="superscript"/>
      <sz val="11"/>
      <color indexed="8"/>
      <name val="Times New Roman"/>
      <family val="1"/>
    </font>
    <font>
      <b/>
      <sz val="11"/>
      <color theme="1"/>
      <name val="Times New Roman"/>
      <family val="1"/>
    </font>
    <font>
      <b/>
      <vertAlign val="superscript"/>
      <sz val="11"/>
      <color theme="1"/>
      <name val="Times New Roman"/>
      <family val="1"/>
    </font>
    <font>
      <u/>
      <sz val="10"/>
      <color indexed="8"/>
      <name val="Times New Roman"/>
      <family val="1"/>
    </font>
    <font>
      <b/>
      <vertAlign val="superscript"/>
      <sz val="14"/>
      <color theme="1"/>
      <name val="Times New Roman"/>
      <family val="1"/>
    </font>
    <font>
      <b/>
      <sz val="10"/>
      <color rgb="FF000000"/>
      <name val="Times New Roman"/>
      <family val="1"/>
    </font>
    <font>
      <b/>
      <sz val="11"/>
      <color rgb="FFC00000"/>
      <name val="Times New Roman"/>
      <family val="1"/>
    </font>
    <font>
      <i/>
      <sz val="10"/>
      <color rgb="FF000000"/>
      <name val="Times New Roman"/>
      <family val="1"/>
    </font>
    <font>
      <vertAlign val="superscript"/>
      <sz val="11"/>
      <color rgb="FF000000"/>
      <name val="Times New Roman"/>
      <family val="1"/>
    </font>
    <font>
      <vertAlign val="superscript"/>
      <sz val="10"/>
      <color rgb="FF000000"/>
      <name val="Times New Roman"/>
      <family val="1"/>
    </font>
    <font>
      <sz val="10"/>
      <color rgb="FF000000"/>
      <name val="Times New Roman"/>
      <family val="1"/>
    </font>
    <font>
      <sz val="11"/>
      <color rgb="FFB34700"/>
      <name val="Times New Roman"/>
      <family val="1"/>
    </font>
    <font>
      <vertAlign val="superscript"/>
      <sz val="11"/>
      <color rgb="FFB347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style="thin">
        <color auto="1"/>
      </top>
      <bottom/>
      <diagonal/>
    </border>
    <border>
      <left/>
      <right/>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top/>
      <bottom/>
      <diagonal/>
    </border>
    <border>
      <left/>
      <right/>
      <top style="thin">
        <color auto="1"/>
      </top>
      <bottom style="thin">
        <color indexed="64"/>
      </bottom>
      <diagonal/>
    </border>
    <border>
      <left/>
      <right style="thin">
        <color indexed="64"/>
      </right>
      <top/>
      <bottom/>
      <diagonal/>
    </border>
  </borders>
  <cellStyleXfs count="16">
    <xf numFmtId="0" fontId="0" fillId="0" borderId="0"/>
    <xf numFmtId="44"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81">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0" fontId="6" fillId="2" borderId="0" xfId="0" applyFont="1" applyFill="1"/>
    <xf numFmtId="0" fontId="13" fillId="3" borderId="0" xfId="0" applyFont="1" applyFill="1"/>
    <xf numFmtId="0" fontId="7" fillId="3" borderId="0" xfId="0" applyFont="1" applyFill="1"/>
    <xf numFmtId="0" fontId="14" fillId="3" borderId="0" xfId="0" applyFont="1" applyFill="1"/>
    <xf numFmtId="0" fontId="11" fillId="3" borderId="0" xfId="0" applyFont="1" applyFill="1"/>
    <xf numFmtId="0" fontId="6" fillId="3" borderId="0" xfId="0" applyFont="1" applyFill="1"/>
    <xf numFmtId="0" fontId="7" fillId="3" borderId="0" xfId="0" applyFont="1" applyFill="1" applyAlignment="1">
      <alignment horizontal="left"/>
    </xf>
    <xf numFmtId="0" fontId="7" fillId="2" borderId="0" xfId="0" applyFont="1" applyFill="1" applyAlignment="1">
      <alignment horizontal="left"/>
    </xf>
    <xf numFmtId="0" fontId="32" fillId="3" borderId="0" xfId="0" applyFont="1" applyFill="1"/>
    <xf numFmtId="9" fontId="7" fillId="0" borderId="0" xfId="2" applyFont="1" applyFill="1" applyBorder="1" applyAlignment="1">
      <alignment vertical="top"/>
    </xf>
    <xf numFmtId="43" fontId="34" fillId="2" borderId="0" xfId="0" applyNumberFormat="1" applyFont="1" applyFill="1" applyAlignment="1">
      <alignment vertical="top"/>
    </xf>
    <xf numFmtId="0" fontId="11" fillId="3" borderId="0" xfId="0" applyFont="1" applyFill="1" applyAlignment="1">
      <alignment vertical="top"/>
    </xf>
    <xf numFmtId="0" fontId="7" fillId="3" borderId="0" xfId="0" applyFont="1" applyFill="1" applyAlignment="1">
      <alignment horizontal="left" vertical="top"/>
    </xf>
    <xf numFmtId="0" fontId="7"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9" fontId="7" fillId="0" borderId="0" xfId="2" applyFont="1" applyFill="1" applyBorder="1" applyAlignment="1">
      <alignment horizontal="left" vertical="top"/>
    </xf>
    <xf numFmtId="0" fontId="14" fillId="3" borderId="0" xfId="0" applyFont="1" applyFill="1" applyAlignment="1">
      <alignment horizontal="center" vertical="top"/>
    </xf>
    <xf numFmtId="0" fontId="22" fillId="3" borderId="0" xfId="0" applyFont="1" applyFill="1" applyAlignment="1">
      <alignment horizontal="left" vertical="top"/>
    </xf>
    <xf numFmtId="0" fontId="4" fillId="2" borderId="0" xfId="0" applyFont="1" applyFill="1" applyAlignment="1">
      <alignment vertical="top"/>
    </xf>
    <xf numFmtId="0" fontId="4" fillId="2" borderId="0" xfId="0" applyFont="1" applyFill="1" applyAlignment="1">
      <alignment horizontal="left" vertical="top"/>
    </xf>
    <xf numFmtId="0" fontId="18" fillId="2" borderId="0" xfId="0" applyFont="1" applyFill="1" applyAlignment="1">
      <alignment vertical="top"/>
    </xf>
    <xf numFmtId="0" fontId="18" fillId="2" borderId="0" xfId="0" quotePrefix="1" applyFont="1" applyFill="1" applyAlignment="1">
      <alignment vertical="top"/>
    </xf>
    <xf numFmtId="4" fontId="7" fillId="2" borderId="0" xfId="0" applyNumberFormat="1" applyFont="1" applyFill="1" applyAlignment="1">
      <alignment horizontal="right" vertical="top"/>
    </xf>
    <xf numFmtId="0" fontId="7" fillId="3" borderId="0" xfId="0" applyFont="1" applyFill="1" applyAlignment="1">
      <alignment vertical="top" wrapText="1"/>
    </xf>
    <xf numFmtId="4" fontId="7" fillId="3" borderId="0" xfId="0" applyNumberFormat="1" applyFont="1" applyFill="1" applyAlignment="1">
      <alignment horizontal="right"/>
    </xf>
    <xf numFmtId="0" fontId="7" fillId="3" borderId="0" xfId="0" applyFont="1" applyFill="1" applyAlignment="1">
      <alignment horizontal="right"/>
    </xf>
    <xf numFmtId="0" fontId="8" fillId="3" borderId="0" xfId="0" applyFont="1" applyFill="1" applyAlignment="1">
      <alignment vertical="top"/>
    </xf>
    <xf numFmtId="0" fontId="6" fillId="3" borderId="0" xfId="0" applyFont="1" applyFill="1" applyAlignment="1">
      <alignment horizontal="left" vertical="top"/>
    </xf>
    <xf numFmtId="0" fontId="7" fillId="0" borderId="0" xfId="0" applyFont="1" applyAlignment="1">
      <alignment vertical="top"/>
    </xf>
    <xf numFmtId="0" fontId="7" fillId="0" borderId="0" xfId="0" applyFont="1" applyAlignment="1">
      <alignment horizontal="left" vertical="top"/>
    </xf>
    <xf numFmtId="166" fontId="7" fillId="0" borderId="0" xfId="0" applyNumberFormat="1" applyFont="1" applyAlignment="1">
      <alignment vertical="top"/>
    </xf>
    <xf numFmtId="0" fontId="22" fillId="0" borderId="3" xfId="0" applyFont="1" applyBorder="1" applyAlignment="1">
      <alignment horizontal="left" vertical="top"/>
    </xf>
    <xf numFmtId="0" fontId="22" fillId="0" borderId="0" xfId="0" applyFont="1" applyAlignment="1">
      <alignment horizontal="left" vertical="top"/>
    </xf>
    <xf numFmtId="0" fontId="7" fillId="0" borderId="1" xfId="0" applyFont="1" applyBorder="1" applyAlignment="1">
      <alignment horizontal="left" vertical="top" wrapText="1"/>
    </xf>
    <xf numFmtId="0" fontId="22" fillId="0" borderId="3" xfId="0" applyFont="1" applyBorder="1" applyAlignment="1">
      <alignment horizontal="left" vertical="top" wrapText="1"/>
    </xf>
    <xf numFmtId="166" fontId="7" fillId="0" borderId="0" xfId="0" applyNumberFormat="1" applyFont="1" applyAlignment="1">
      <alignment horizontal="left" vertical="top" wrapText="1"/>
    </xf>
    <xf numFmtId="0" fontId="7" fillId="0" borderId="12" xfId="0" applyFont="1" applyBorder="1" applyAlignment="1">
      <alignment horizontal="left" vertical="top"/>
    </xf>
    <xf numFmtId="0" fontId="7" fillId="0" borderId="11"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0" xfId="0" applyFont="1" applyAlignment="1">
      <alignment horizontal="right" vertical="top"/>
    </xf>
    <xf numFmtId="2" fontId="24" fillId="0" borderId="0" xfId="0" applyNumberFormat="1" applyFont="1" applyAlignment="1">
      <alignment horizontal="righ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0" xfId="0" applyFont="1" applyAlignment="1">
      <alignment horizontal="left" vertical="top" wrapText="1"/>
    </xf>
    <xf numFmtId="0" fontId="7" fillId="0" borderId="4" xfId="0" applyFont="1" applyBorder="1" applyAlignment="1">
      <alignment horizontal="left" vertical="top"/>
    </xf>
    <xf numFmtId="0" fontId="7" fillId="0" borderId="6" xfId="0" applyFont="1" applyBorder="1" applyAlignment="1">
      <alignment horizontal="left" vertical="top"/>
    </xf>
    <xf numFmtId="166" fontId="7" fillId="0" borderId="13" xfId="0" applyNumberFormat="1" applyFont="1" applyBorder="1" applyAlignment="1">
      <alignment horizontal="left" vertical="top"/>
    </xf>
    <xf numFmtId="166" fontId="7" fillId="0" borderId="11" xfId="0" applyNumberFormat="1" applyFont="1" applyBorder="1" applyAlignment="1">
      <alignment horizontal="left" vertical="top" wrapText="1"/>
    </xf>
    <xf numFmtId="0" fontId="7" fillId="0" borderId="1" xfId="0" applyFont="1" applyBorder="1" applyAlignment="1">
      <alignment horizontal="left" vertical="top"/>
    </xf>
    <xf numFmtId="166" fontId="7" fillId="0" borderId="0" xfId="0" applyNumberFormat="1" applyFont="1" applyAlignment="1">
      <alignment horizontal="left" vertical="top"/>
    </xf>
    <xf numFmtId="166" fontId="7" fillId="0" borderId="11" xfId="0" applyNumberFormat="1" applyFont="1" applyBorder="1" applyAlignment="1">
      <alignment horizontal="left" vertical="top"/>
    </xf>
    <xf numFmtId="0" fontId="7" fillId="0" borderId="5" xfId="0" applyFont="1" applyBorder="1" applyAlignment="1">
      <alignment horizontal="left" vertical="top"/>
    </xf>
    <xf numFmtId="0" fontId="0" fillId="0" borderId="0" xfId="0" applyAlignment="1">
      <alignment vertical="top"/>
    </xf>
    <xf numFmtId="0" fontId="7" fillId="0" borderId="8" xfId="0" applyFont="1" applyBorder="1" applyAlignment="1">
      <alignment horizontal="left" vertical="top"/>
    </xf>
    <xf numFmtId="166" fontId="7" fillId="0" borderId="0" xfId="0" applyNumberFormat="1" applyFont="1" applyAlignment="1">
      <alignment horizontal="right" vertical="top"/>
    </xf>
    <xf numFmtId="0" fontId="7" fillId="0" borderId="10" xfId="0" applyFont="1" applyBorder="1" applyAlignment="1">
      <alignment horizontal="left" vertical="top"/>
    </xf>
    <xf numFmtId="4" fontId="6" fillId="3" borderId="0" xfId="0" applyNumberFormat="1" applyFont="1" applyFill="1" applyAlignment="1">
      <alignment horizontal="right"/>
    </xf>
    <xf numFmtId="0" fontId="9" fillId="2" borderId="11" xfId="0" applyFont="1" applyFill="1" applyBorder="1" applyAlignment="1">
      <alignment vertical="top"/>
    </xf>
    <xf numFmtId="0" fontId="9" fillId="3" borderId="11" xfId="0" applyFont="1" applyFill="1" applyBorder="1" applyAlignment="1">
      <alignment horizontal="right" vertical="top" wrapText="1"/>
    </xf>
    <xf numFmtId="0" fontId="7" fillId="0" borderId="13" xfId="0" applyFont="1" applyBorder="1" applyAlignment="1">
      <alignment horizontal="left" vertical="top"/>
    </xf>
    <xf numFmtId="0" fontId="7" fillId="0" borderId="13" xfId="0" applyFont="1" applyBorder="1" applyAlignment="1">
      <alignment horizontal="right" vertical="top"/>
    </xf>
    <xf numFmtId="0" fontId="7" fillId="0" borderId="13" xfId="0" applyFont="1" applyBorder="1" applyAlignment="1">
      <alignment horizontal="right" vertical="top" wrapText="1"/>
    </xf>
    <xf numFmtId="0" fontId="7" fillId="0" borderId="13" xfId="0" applyFont="1" applyBorder="1" applyAlignment="1">
      <alignment horizontal="left" vertical="top" wrapText="1"/>
    </xf>
    <xf numFmtId="0" fontId="16" fillId="3" borderId="0" xfId="0" applyFont="1" applyFill="1" applyAlignment="1">
      <alignment horizontal="right" vertical="top"/>
    </xf>
    <xf numFmtId="0" fontId="16" fillId="3" borderId="0" xfId="0" applyFont="1" applyFill="1" applyAlignment="1">
      <alignment vertical="top"/>
    </xf>
    <xf numFmtId="0" fontId="23" fillId="3" borderId="0" xfId="0" applyFont="1" applyFill="1" applyAlignment="1">
      <alignment vertical="top"/>
    </xf>
    <xf numFmtId="0" fontId="6" fillId="2" borderId="0" xfId="0" applyFont="1" applyFill="1" applyAlignment="1">
      <alignment horizontal="right" vertical="top"/>
    </xf>
    <xf numFmtId="2" fontId="7" fillId="3" borderId="0" xfId="0" applyNumberFormat="1" applyFont="1" applyFill="1" applyAlignment="1" applyProtection="1">
      <alignment horizontal="right" vertical="top"/>
      <protection locked="0"/>
    </xf>
    <xf numFmtId="4" fontId="7" fillId="3" borderId="0" xfId="0" applyNumberFormat="1" applyFont="1" applyFill="1" applyAlignment="1" applyProtection="1">
      <alignment horizontal="right" vertical="top"/>
      <protection locked="0"/>
    </xf>
    <xf numFmtId="0" fontId="16" fillId="3" borderId="0" xfId="0" applyFont="1" applyFill="1"/>
    <xf numFmtId="0" fontId="5" fillId="3" borderId="11" xfId="0" applyFont="1" applyFill="1" applyBorder="1" applyAlignment="1">
      <alignment horizontal="left" vertical="top" wrapText="1"/>
    </xf>
    <xf numFmtId="0" fontId="9" fillId="3" borderId="13" xfId="0" applyFont="1" applyFill="1" applyBorder="1" applyAlignment="1">
      <alignment horizontal="left" vertical="top"/>
    </xf>
    <xf numFmtId="0" fontId="9" fillId="3" borderId="13" xfId="0" applyFont="1" applyFill="1" applyBorder="1" applyAlignment="1">
      <alignment horizontal="right" vertical="top"/>
    </xf>
    <xf numFmtId="0" fontId="9" fillId="3" borderId="11" xfId="0" applyFont="1" applyFill="1" applyBorder="1" applyAlignment="1">
      <alignment horizontal="right" vertical="top"/>
    </xf>
    <xf numFmtId="0" fontId="6"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7" fillId="3" borderId="11" xfId="0" applyFont="1" applyFill="1" applyBorder="1" applyAlignment="1">
      <alignment horizontal="left"/>
    </xf>
    <xf numFmtId="3" fontId="9" fillId="3" borderId="0" xfId="0" applyNumberFormat="1" applyFont="1" applyFill="1" applyAlignment="1">
      <alignment horizontal="right"/>
    </xf>
    <xf numFmtId="3" fontId="7" fillId="2" borderId="0" xfId="0" applyNumberFormat="1" applyFont="1" applyFill="1" applyAlignment="1">
      <alignment horizontal="right"/>
    </xf>
    <xf numFmtId="4" fontId="7" fillId="3" borderId="0" xfId="0" applyNumberFormat="1" applyFont="1" applyFill="1" applyAlignment="1" applyProtection="1">
      <alignment horizontal="right"/>
      <protection locked="0"/>
    </xf>
    <xf numFmtId="3" fontId="7" fillId="3" borderId="0" xfId="0" applyNumberFormat="1" applyFont="1" applyFill="1" applyAlignment="1">
      <alignment horizontal="right"/>
    </xf>
    <xf numFmtId="3" fontId="15" fillId="3" borderId="0" xfId="0" applyNumberFormat="1" applyFont="1" applyFill="1" applyAlignment="1">
      <alignment horizontal="right"/>
    </xf>
    <xf numFmtId="4" fontId="12" fillId="3" borderId="0" xfId="0" applyNumberFormat="1" applyFont="1" applyFill="1" applyAlignment="1">
      <alignment horizontal="right"/>
    </xf>
    <xf numFmtId="0" fontId="9" fillId="3" borderId="13" xfId="0" applyFont="1" applyFill="1" applyBorder="1" applyAlignment="1">
      <alignment horizontal="left" vertical="top" wrapText="1"/>
    </xf>
    <xf numFmtId="4" fontId="7" fillId="3" borderId="0" xfId="0" applyNumberFormat="1" applyFont="1" applyFill="1" applyAlignment="1">
      <alignment horizontal="right" vertical="center"/>
    </xf>
    <xf numFmtId="0" fontId="7" fillId="0" borderId="0" xfId="0" applyFont="1" applyAlignment="1">
      <alignment horizontal="left"/>
    </xf>
    <xf numFmtId="0" fontId="11" fillId="3" borderId="0" xfId="0" applyFont="1" applyFill="1" applyAlignment="1">
      <alignment horizontal="left"/>
    </xf>
    <xf numFmtId="0" fontId="9" fillId="3" borderId="13" xfId="0" applyFont="1" applyFill="1" applyBorder="1" applyAlignment="1">
      <alignment horizontal="right" wrapText="1"/>
    </xf>
    <xf numFmtId="0" fontId="9" fillId="3" borderId="11" xfId="0" applyFont="1" applyFill="1" applyBorder="1" applyAlignment="1">
      <alignment horizontal="right" wrapText="1"/>
    </xf>
    <xf numFmtId="1" fontId="22" fillId="3" borderId="0" xfId="0" applyNumberFormat="1" applyFont="1" applyFill="1" applyAlignment="1">
      <alignment horizontal="center"/>
    </xf>
    <xf numFmtId="1" fontId="22" fillId="3" borderId="11" xfId="0" applyNumberFormat="1" applyFont="1" applyFill="1" applyBorder="1" applyAlignment="1">
      <alignment horizontal="center"/>
    </xf>
    <xf numFmtId="1" fontId="7" fillId="3" borderId="0" xfId="0" applyNumberFormat="1" applyFont="1" applyFill="1" applyAlignment="1">
      <alignment horizontal="center"/>
    </xf>
    <xf numFmtId="1" fontId="7" fillId="3" borderId="11" xfId="0" applyNumberFormat="1" applyFont="1" applyFill="1" applyBorder="1" applyAlignment="1">
      <alignment horizontal="center"/>
    </xf>
    <xf numFmtId="0" fontId="11" fillId="3" borderId="0" xfId="0" applyFont="1" applyFill="1" applyAlignment="1">
      <alignment horizontal="center"/>
    </xf>
    <xf numFmtId="0" fontId="26" fillId="3" borderId="0" xfId="0" applyFont="1" applyFill="1" applyAlignment="1">
      <alignment horizontal="center"/>
    </xf>
    <xf numFmtId="0" fontId="13" fillId="3" borderId="0" xfId="0" applyFont="1" applyFill="1" applyAlignment="1">
      <alignment horizontal="center"/>
    </xf>
    <xf numFmtId="3" fontId="7" fillId="3" borderId="0" xfId="0" applyNumberFormat="1" applyFont="1" applyFill="1" applyAlignment="1" applyProtection="1">
      <alignment horizontal="right"/>
      <protection locked="0"/>
    </xf>
    <xf numFmtId="3" fontId="42" fillId="3" borderId="0" xfId="0" applyNumberFormat="1" applyFont="1" applyFill="1" applyAlignment="1">
      <alignment horizontal="right"/>
    </xf>
    <xf numFmtId="0" fontId="27" fillId="3" borderId="0" xfId="0" applyFont="1" applyFill="1" applyAlignment="1">
      <alignment vertical="top" wrapText="1"/>
    </xf>
    <xf numFmtId="0" fontId="24" fillId="3" borderId="0" xfId="0" applyFont="1" applyFill="1"/>
    <xf numFmtId="0" fontId="24" fillId="3" borderId="0" xfId="0" applyFont="1" applyFill="1" applyAlignment="1">
      <alignment vertical="top"/>
    </xf>
    <xf numFmtId="166" fontId="7" fillId="0" borderId="1" xfId="0" applyNumberFormat="1" applyFont="1" applyBorder="1" applyAlignment="1">
      <alignment horizontal="left" vertical="top" wrapText="1"/>
    </xf>
    <xf numFmtId="166" fontId="7" fillId="0" borderId="1" xfId="0" applyNumberFormat="1" applyFont="1" applyBorder="1" applyAlignment="1">
      <alignment vertical="top" wrapText="1"/>
    </xf>
    <xf numFmtId="166" fontId="7" fillId="0" borderId="11" xfId="0" applyNumberFormat="1" applyFont="1" applyBorder="1" applyAlignment="1">
      <alignment vertical="top" wrapText="1"/>
    </xf>
    <xf numFmtId="0" fontId="2" fillId="2" borderId="11" xfId="0" applyFont="1" applyFill="1" applyBorder="1"/>
    <xf numFmtId="3" fontId="14" fillId="3" borderId="0" xfId="0" applyNumberFormat="1" applyFont="1" applyFill="1" applyAlignment="1">
      <alignment vertical="top"/>
    </xf>
    <xf numFmtId="9" fontId="7" fillId="3" borderId="0" xfId="2" applyFont="1" applyFill="1" applyAlignment="1">
      <alignment vertical="top"/>
    </xf>
    <xf numFmtId="0" fontId="24" fillId="3" borderId="0" xfId="0" applyFont="1" applyFill="1" applyAlignment="1">
      <alignment horizontal="left" vertical="top" wrapText="1"/>
    </xf>
    <xf numFmtId="0" fontId="7" fillId="3" borderId="0" xfId="0" quotePrefix="1" applyFont="1" applyFill="1" applyAlignment="1">
      <alignment horizontal="left" vertical="top"/>
    </xf>
    <xf numFmtId="0" fontId="6" fillId="3" borderId="0" xfId="0" quotePrefix="1" applyFont="1" applyFill="1" applyAlignment="1">
      <alignment horizontal="left" vertical="top"/>
    </xf>
    <xf numFmtId="0" fontId="13" fillId="3" borderId="0" xfId="0" applyFont="1" applyFill="1" applyAlignment="1">
      <alignment horizontal="left" vertical="top"/>
    </xf>
    <xf numFmtId="0" fontId="9" fillId="3" borderId="0" xfId="0" applyFont="1" applyFill="1" applyAlignment="1">
      <alignment horizontal="left" vertical="top"/>
    </xf>
    <xf numFmtId="0" fontId="7" fillId="3" borderId="0" xfId="0" quotePrefix="1" applyFont="1" applyFill="1" applyAlignment="1">
      <alignment horizontal="left" vertical="top" wrapText="1"/>
    </xf>
    <xf numFmtId="0" fontId="6" fillId="3" borderId="0" xfId="0" applyFont="1" applyFill="1" applyAlignment="1">
      <alignment vertical="top" wrapText="1"/>
    </xf>
    <xf numFmtId="0" fontId="22" fillId="3" borderId="0" xfId="0" applyFont="1" applyFill="1" applyAlignment="1">
      <alignment vertical="top" wrapText="1"/>
    </xf>
    <xf numFmtId="0" fontId="6" fillId="3" borderId="11" xfId="0" applyFont="1" applyFill="1" applyBorder="1" applyAlignment="1">
      <alignment vertical="top"/>
    </xf>
    <xf numFmtId="0" fontId="7" fillId="3" borderId="0" xfId="0" applyFont="1" applyFill="1" applyAlignment="1">
      <alignment wrapText="1"/>
    </xf>
    <xf numFmtId="0" fontId="0" fillId="3" borderId="0" xfId="0" applyFill="1"/>
    <xf numFmtId="0" fontId="9" fillId="2" borderId="11" xfId="0" applyFont="1" applyFill="1" applyBorder="1" applyAlignment="1">
      <alignment horizontal="right" vertical="top" wrapText="1"/>
    </xf>
    <xf numFmtId="0" fontId="5" fillId="2" borderId="11" xfId="0" applyFont="1" applyFill="1" applyBorder="1" applyAlignment="1">
      <alignment horizontal="right" vertical="top"/>
    </xf>
    <xf numFmtId="0" fontId="5" fillId="2" borderId="11" xfId="0" applyFont="1" applyFill="1" applyBorder="1" applyAlignment="1">
      <alignment vertical="top"/>
    </xf>
    <xf numFmtId="0" fontId="9" fillId="2" borderId="0" xfId="0" applyFont="1" applyFill="1" applyAlignment="1">
      <alignment horizontal="left"/>
    </xf>
    <xf numFmtId="0" fontId="18" fillId="2" borderId="0" xfId="0" applyFont="1" applyFill="1"/>
    <xf numFmtId="0" fontId="4" fillId="3" borderId="0" xfId="0" applyFont="1" applyFill="1" applyAlignment="1">
      <alignment vertical="top"/>
    </xf>
    <xf numFmtId="0" fontId="11" fillId="3" borderId="0" xfId="0" applyFont="1" applyFill="1" applyAlignment="1">
      <alignment wrapText="1"/>
    </xf>
    <xf numFmtId="0" fontId="8" fillId="3" borderId="11" xfId="0" applyFont="1" applyFill="1" applyBorder="1"/>
    <xf numFmtId="0" fontId="2" fillId="2" borderId="11" xfId="0" applyFont="1" applyFill="1" applyBorder="1" applyAlignment="1">
      <alignment horizontal="right"/>
    </xf>
    <xf numFmtId="0" fontId="2" fillId="2" borderId="0" xfId="0" applyFont="1" applyFill="1"/>
    <xf numFmtId="0" fontId="8" fillId="2" borderId="11" xfId="0" applyFont="1" applyFill="1" applyBorder="1"/>
    <xf numFmtId="0" fontId="2" fillId="2" borderId="0" xfId="0" applyFont="1" applyFill="1" applyAlignment="1">
      <alignment wrapText="1"/>
    </xf>
    <xf numFmtId="0" fontId="9" fillId="0" borderId="0" xfId="0" applyFont="1"/>
    <xf numFmtId="0" fontId="7" fillId="0" borderId="0" xfId="0" applyFont="1"/>
    <xf numFmtId="0" fontId="27" fillId="3" borderId="0" xfId="0" applyFont="1" applyFill="1" applyAlignment="1">
      <alignment vertical="top"/>
    </xf>
    <xf numFmtId="0" fontId="9" fillId="2" borderId="11" xfId="0" applyFont="1" applyFill="1" applyBorder="1" applyAlignment="1">
      <alignment horizontal="left" vertical="top" wrapText="1"/>
    </xf>
    <xf numFmtId="0" fontId="9" fillId="3" borderId="11" xfId="0" applyFont="1" applyFill="1" applyBorder="1" applyAlignment="1">
      <alignment horizontal="left" vertical="top"/>
    </xf>
    <xf numFmtId="0" fontId="8" fillId="3" borderId="0" xfId="0" applyFont="1" applyFill="1" applyAlignment="1">
      <alignment horizontal="left" vertical="top"/>
    </xf>
    <xf numFmtId="0" fontId="0" fillId="3" borderId="0" xfId="0" applyFill="1" applyAlignment="1">
      <alignment vertical="top"/>
    </xf>
    <xf numFmtId="0" fontId="22" fillId="3" borderId="0" xfId="0" applyFont="1" applyFill="1"/>
    <xf numFmtId="0" fontId="9" fillId="3" borderId="0" xfId="0" applyFont="1" applyFill="1" applyAlignment="1">
      <alignment vertical="top"/>
    </xf>
    <xf numFmtId="4" fontId="9" fillId="3" borderId="0" xfId="0" applyNumberFormat="1" applyFont="1" applyFill="1" applyAlignment="1">
      <alignment horizontal="right" vertical="top"/>
    </xf>
    <xf numFmtId="3" fontId="7" fillId="3" borderId="0" xfId="0" applyNumberFormat="1" applyFont="1" applyFill="1" applyAlignment="1">
      <alignment horizontal="right" vertical="top"/>
    </xf>
    <xf numFmtId="3" fontId="7" fillId="3" borderId="0" xfId="0" applyNumberFormat="1" applyFont="1" applyFill="1" applyAlignment="1" applyProtection="1">
      <alignment horizontal="right" vertical="top"/>
      <protection locked="0"/>
    </xf>
    <xf numFmtId="0" fontId="5" fillId="3" borderId="0" xfId="0" applyFont="1" applyFill="1" applyAlignment="1">
      <alignment horizontal="left" vertical="top"/>
    </xf>
    <xf numFmtId="3" fontId="9" fillId="3" borderId="0" xfId="0" applyNumberFormat="1" applyFont="1" applyFill="1" applyAlignment="1">
      <alignment horizontal="right" vertical="top"/>
    </xf>
    <xf numFmtId="3" fontId="42" fillId="3" borderId="0" xfId="0" applyNumberFormat="1" applyFont="1" applyFill="1" applyAlignment="1">
      <alignment horizontal="right" vertical="top"/>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8" fillId="3" borderId="0" xfId="0" applyFont="1" applyFill="1"/>
    <xf numFmtId="3" fontId="6" fillId="3" borderId="0" xfId="0" applyNumberFormat="1" applyFont="1" applyFill="1"/>
    <xf numFmtId="0" fontId="9" fillId="3" borderId="0" xfId="0" applyFont="1" applyFill="1"/>
    <xf numFmtId="1" fontId="6" fillId="3" borderId="0" xfId="0" applyNumberFormat="1" applyFont="1" applyFill="1"/>
    <xf numFmtId="3" fontId="42" fillId="3" borderId="0" xfId="0" applyNumberFormat="1" applyFont="1" applyFill="1"/>
    <xf numFmtId="166" fontId="7" fillId="3" borderId="0" xfId="0" applyNumberFormat="1" applyFont="1" applyFill="1" applyAlignment="1">
      <alignment horizontal="right"/>
    </xf>
    <xf numFmtId="4" fontId="7" fillId="3" borderId="1" xfId="0" applyNumberFormat="1" applyFont="1" applyFill="1" applyBorder="1"/>
    <xf numFmtId="0" fontId="6" fillId="3" borderId="0" xfId="0" applyFont="1" applyFill="1" applyAlignment="1">
      <alignment horizontal="right"/>
    </xf>
    <xf numFmtId="4" fontId="7" fillId="3" borderId="0" xfId="0" applyNumberFormat="1" applyFont="1" applyFill="1"/>
    <xf numFmtId="4" fontId="6" fillId="2" borderId="0" xfId="0" applyNumberFormat="1" applyFont="1" applyFill="1"/>
    <xf numFmtId="0" fontId="7" fillId="3" borderId="11" xfId="0" applyFont="1" applyFill="1" applyBorder="1"/>
    <xf numFmtId="166" fontId="7" fillId="3" borderId="11" xfId="0" applyNumberFormat="1" applyFont="1" applyFill="1" applyBorder="1" applyAlignment="1">
      <alignment horizontal="right"/>
    </xf>
    <xf numFmtId="4" fontId="7" fillId="3" borderId="11" xfId="0" applyNumberFormat="1" applyFont="1" applyFill="1" applyBorder="1"/>
    <xf numFmtId="0" fontId="6" fillId="3" borderId="11" xfId="0" applyFont="1" applyFill="1" applyBorder="1" applyAlignment="1">
      <alignment horizontal="right"/>
    </xf>
    <xf numFmtId="0" fontId="6" fillId="2" borderId="0" xfId="0" applyFont="1" applyFill="1" applyAlignment="1">
      <alignment wrapText="1" shrinkToFit="1"/>
    </xf>
    <xf numFmtId="4" fontId="6" fillId="2" borderId="0" xfId="0" applyNumberFormat="1" applyFont="1" applyFill="1" applyAlignment="1">
      <alignment wrapText="1" shrinkToFit="1"/>
    </xf>
    <xf numFmtId="3" fontId="6" fillId="2" borderId="0" xfId="0" applyNumberFormat="1" applyFont="1" applyFill="1" applyAlignment="1">
      <alignment wrapText="1" shrinkToFit="1"/>
    </xf>
    <xf numFmtId="0" fontId="7" fillId="3" borderId="11" xfId="0" applyFont="1" applyFill="1" applyBorder="1" applyAlignment="1">
      <alignment wrapText="1"/>
    </xf>
    <xf numFmtId="166" fontId="6" fillId="2" borderId="0" xfId="0" applyNumberFormat="1" applyFont="1" applyFill="1" applyAlignment="1">
      <alignment wrapText="1" shrinkToFit="1"/>
    </xf>
    <xf numFmtId="0" fontId="4" fillId="2" borderId="0" xfId="0" applyFont="1" applyFill="1"/>
    <xf numFmtId="0" fontId="4" fillId="2" borderId="0" xfId="0" applyFont="1" applyFill="1" applyAlignment="1">
      <alignment wrapText="1"/>
    </xf>
    <xf numFmtId="3" fontId="7" fillId="2" borderId="0" xfId="0" applyNumberFormat="1" applyFont="1" applyFill="1"/>
    <xf numFmtId="0" fontId="7" fillId="2" borderId="0" xfId="0" applyFont="1" applyFill="1" applyAlignment="1">
      <alignment horizontal="left" wrapText="1"/>
    </xf>
    <xf numFmtId="0" fontId="11" fillId="2" borderId="0" xfId="0" applyFont="1" applyFill="1"/>
    <xf numFmtId="4" fontId="7" fillId="2" borderId="0" xfId="0" applyNumberFormat="1" applyFont="1" applyFill="1" applyAlignment="1">
      <alignment horizontal="right"/>
    </xf>
    <xf numFmtId="3" fontId="7" fillId="2" borderId="2" xfId="0" applyNumberFormat="1" applyFont="1" applyFill="1" applyBorder="1" applyAlignment="1">
      <alignment horizontal="right"/>
    </xf>
    <xf numFmtId="3" fontId="6" fillId="2" borderId="0" xfId="0" applyNumberFormat="1" applyFont="1" applyFill="1" applyAlignment="1">
      <alignment horizontal="right"/>
    </xf>
    <xf numFmtId="0" fontId="6" fillId="2" borderId="0" xfId="0" applyFont="1" applyFill="1" applyAlignment="1">
      <alignment horizontal="right"/>
    </xf>
    <xf numFmtId="164" fontId="6" fillId="2" borderId="0" xfId="0" applyNumberFormat="1" applyFont="1" applyFill="1"/>
    <xf numFmtId="44" fontId="6" fillId="2" borderId="0" xfId="0" applyNumberFormat="1" applyFont="1" applyFill="1"/>
    <xf numFmtId="0" fontId="4" fillId="2" borderId="0" xfId="0" applyFont="1" applyFill="1" applyAlignment="1">
      <alignment horizontal="left"/>
    </xf>
    <xf numFmtId="0" fontId="26" fillId="3" borderId="0" xfId="0" applyFont="1" applyFill="1"/>
    <xf numFmtId="0" fontId="7" fillId="2" borderId="0" xfId="0" applyFont="1" applyFill="1" applyAlignment="1">
      <alignment wrapText="1"/>
    </xf>
    <xf numFmtId="0" fontId="7" fillId="3" borderId="0" xfId="0" quotePrefix="1" applyFont="1" applyFill="1"/>
    <xf numFmtId="165" fontId="7" fillId="3" borderId="0" xfId="0" applyNumberFormat="1" applyFont="1" applyFill="1" applyAlignment="1" applyProtection="1">
      <alignment horizontal="right"/>
      <protection locked="0"/>
    </xf>
    <xf numFmtId="4" fontId="7" fillId="3" borderId="0" xfId="0" quotePrefix="1" applyNumberFormat="1" applyFont="1" applyFill="1"/>
    <xf numFmtId="4" fontId="15" fillId="3" borderId="0" xfId="0" applyNumberFormat="1" applyFont="1" applyFill="1" applyAlignment="1">
      <alignment horizontal="right"/>
    </xf>
    <xf numFmtId="164" fontId="7" fillId="3" borderId="0" xfId="1" applyNumberFormat="1" applyFont="1" applyFill="1" applyAlignment="1">
      <alignment horizontal="right"/>
    </xf>
    <xf numFmtId="0" fontId="11" fillId="3" borderId="0" xfId="0" applyFont="1" applyFill="1" applyAlignment="1">
      <alignment horizontal="left" wrapText="1"/>
    </xf>
    <xf numFmtId="3" fontId="7" fillId="3" borderId="0" xfId="0" applyNumberFormat="1" applyFont="1" applyFill="1" applyAlignment="1" applyProtection="1">
      <alignment horizontal="center"/>
      <protection locked="0"/>
    </xf>
    <xf numFmtId="3" fontId="7" fillId="3" borderId="11" xfId="0" applyNumberFormat="1" applyFont="1" applyFill="1" applyBorder="1" applyAlignment="1" applyProtection="1">
      <alignment horizontal="center"/>
      <protection locked="0"/>
    </xf>
    <xf numFmtId="3" fontId="11" fillId="3" borderId="0" xfId="0" applyNumberFormat="1" applyFont="1" applyFill="1" applyAlignment="1" applyProtection="1">
      <alignment horizontal="center"/>
      <protection locked="0"/>
    </xf>
    <xf numFmtId="3" fontId="35" fillId="3" borderId="0" xfId="0" applyNumberFormat="1" applyFont="1" applyFill="1" applyAlignment="1" applyProtection="1">
      <alignment horizontal="center"/>
      <protection locked="0"/>
    </xf>
    <xf numFmtId="0" fontId="25" fillId="3" borderId="0" xfId="0" applyFont="1" applyFill="1"/>
    <xf numFmtId="166" fontId="7" fillId="2" borderId="0" xfId="0" applyNumberFormat="1" applyFont="1" applyFill="1" applyAlignment="1">
      <alignment horizontal="right"/>
    </xf>
    <xf numFmtId="0" fontId="6" fillId="2" borderId="0" xfId="0" quotePrefix="1" applyFont="1" applyFill="1"/>
    <xf numFmtId="4" fontId="7" fillId="2" borderId="0" xfId="0" applyNumberFormat="1" applyFont="1" applyFill="1" applyAlignment="1" applyProtection="1">
      <alignment horizontal="right"/>
      <protection locked="0"/>
    </xf>
    <xf numFmtId="4" fontId="6" fillId="2" borderId="0" xfId="0" applyNumberFormat="1" applyFont="1" applyFill="1" applyAlignment="1">
      <alignment horizontal="right"/>
    </xf>
    <xf numFmtId="0" fontId="7" fillId="0" borderId="0" xfId="0" applyFont="1" applyAlignment="1">
      <alignment vertical="top" wrapText="1"/>
    </xf>
    <xf numFmtId="167" fontId="6" fillId="3" borderId="0" xfId="2" applyNumberFormat="1" applyFont="1" applyFill="1" applyAlignment="1">
      <alignment vertical="top"/>
    </xf>
    <xf numFmtId="0" fontId="11" fillId="3" borderId="0" xfId="0" applyFont="1" applyFill="1" applyAlignment="1">
      <alignment horizontal="left" vertical="top" indent="2"/>
    </xf>
    <xf numFmtId="168" fontId="7" fillId="3" borderId="0" xfId="0" applyNumberFormat="1" applyFont="1" applyFill="1" applyAlignment="1">
      <alignment horizontal="right"/>
    </xf>
    <xf numFmtId="168" fontId="7" fillId="3" borderId="0" xfId="0" applyNumberFormat="1" applyFont="1" applyFill="1"/>
    <xf numFmtId="168" fontId="7" fillId="2" borderId="0" xfId="0" applyNumberFormat="1" applyFont="1" applyFill="1" applyAlignment="1">
      <alignment horizontal="right"/>
    </xf>
    <xf numFmtId="168" fontId="7" fillId="2" borderId="0" xfId="0" applyNumberFormat="1" applyFont="1" applyFill="1"/>
    <xf numFmtId="166" fontId="7" fillId="0" borderId="1" xfId="0" applyNumberFormat="1" applyFont="1" applyBorder="1" applyAlignment="1">
      <alignment vertical="top"/>
    </xf>
    <xf numFmtId="166" fontId="7" fillId="0" borderId="11" xfId="0" applyNumberFormat="1" applyFont="1" applyBorder="1" applyAlignment="1">
      <alignment vertical="top"/>
    </xf>
    <xf numFmtId="0" fontId="47" fillId="3" borderId="0" xfId="0" applyFont="1" applyFill="1"/>
    <xf numFmtId="3" fontId="47" fillId="2" borderId="0" xfId="0" applyNumberFormat="1" applyFont="1" applyFill="1"/>
    <xf numFmtId="9" fontId="47" fillId="2" borderId="0" xfId="2" applyFont="1" applyFill="1" applyAlignment="1"/>
    <xf numFmtId="166" fontId="47" fillId="2" borderId="0" xfId="0" applyNumberFormat="1" applyFont="1" applyFill="1"/>
    <xf numFmtId="9" fontId="47" fillId="2" borderId="0" xfId="2" applyFont="1" applyFill="1" applyBorder="1" applyAlignment="1"/>
    <xf numFmtId="0" fontId="47" fillId="3" borderId="0" xfId="0" applyFont="1" applyFill="1" applyAlignment="1">
      <alignment horizontal="left"/>
    </xf>
    <xf numFmtId="3" fontId="47" fillId="2" borderId="0" xfId="0" applyNumberFormat="1" applyFont="1" applyFill="1" applyAlignment="1" applyProtection="1">
      <alignment horizontal="right"/>
      <protection locked="0"/>
    </xf>
    <xf numFmtId="3" fontId="47" fillId="2" borderId="0" xfId="0" applyNumberFormat="1" applyFont="1" applyFill="1" applyAlignment="1" applyProtection="1">
      <alignment horizontal="center"/>
      <protection locked="0"/>
    </xf>
    <xf numFmtId="0" fontId="47" fillId="2" borderId="0" xfId="0" applyFont="1" applyFill="1" applyAlignment="1">
      <alignment horizontal="left"/>
    </xf>
    <xf numFmtId="3" fontId="47" fillId="3" borderId="0" xfId="0" applyNumberFormat="1" applyFont="1" applyFill="1" applyAlignment="1" applyProtection="1">
      <alignment horizontal="right"/>
      <protection locked="0"/>
    </xf>
    <xf numFmtId="3" fontId="47" fillId="3" borderId="0" xfId="0" applyNumberFormat="1" applyFont="1" applyFill="1" applyAlignment="1" applyProtection="1">
      <alignment horizontal="center"/>
      <protection locked="0"/>
    </xf>
    <xf numFmtId="9" fontId="47" fillId="3" borderId="0" xfId="2" applyFont="1" applyFill="1" applyBorder="1" applyAlignment="1" applyProtection="1">
      <alignment horizontal="center"/>
      <protection locked="0"/>
    </xf>
    <xf numFmtId="3" fontId="47" fillId="3" borderId="11" xfId="0" applyNumberFormat="1" applyFont="1" applyFill="1" applyBorder="1" applyAlignment="1" applyProtection="1">
      <alignment horizontal="center"/>
      <protection locked="0"/>
    </xf>
    <xf numFmtId="4" fontId="47" fillId="2" borderId="0" xfId="0" applyNumberFormat="1" applyFont="1" applyFill="1" applyAlignment="1" applyProtection="1">
      <alignment horizontal="right"/>
      <protection locked="0"/>
    </xf>
    <xf numFmtId="168" fontId="47" fillId="0" borderId="0" xfId="0" applyNumberFormat="1" applyFont="1" applyAlignment="1">
      <alignment horizontal="right" vertical="top"/>
    </xf>
    <xf numFmtId="166" fontId="47" fillId="0" borderId="0" xfId="0" applyNumberFormat="1" applyFont="1" applyAlignment="1">
      <alignment horizontal="right" vertical="top"/>
    </xf>
    <xf numFmtId="3" fontId="47" fillId="0" borderId="0" xfId="0" applyNumberFormat="1" applyFont="1" applyAlignment="1">
      <alignment horizontal="right" vertical="top"/>
    </xf>
    <xf numFmtId="9" fontId="47" fillId="0" borderId="0" xfId="2" applyFont="1" applyAlignment="1">
      <alignment horizontal="right" vertical="top"/>
    </xf>
    <xf numFmtId="9" fontId="47" fillId="0" borderId="0" xfId="2" applyFont="1" applyBorder="1" applyAlignment="1">
      <alignment horizontal="right" vertical="top"/>
    </xf>
    <xf numFmtId="9" fontId="47" fillId="0" borderId="11" xfId="2" applyFont="1" applyBorder="1" applyAlignment="1">
      <alignment horizontal="right" vertical="top"/>
    </xf>
    <xf numFmtId="166" fontId="47" fillId="0" borderId="13" xfId="0" applyNumberFormat="1" applyFont="1" applyBorder="1" applyAlignment="1">
      <alignment horizontal="right" vertical="top"/>
    </xf>
    <xf numFmtId="168" fontId="47" fillId="0" borderId="13" xfId="0" applyNumberFormat="1" applyFont="1" applyBorder="1" applyAlignment="1">
      <alignment horizontal="right" vertical="top"/>
    </xf>
    <xf numFmtId="166" fontId="47" fillId="0" borderId="1" xfId="0" applyNumberFormat="1" applyFont="1" applyBorder="1" applyAlignment="1">
      <alignment horizontal="right" vertical="top"/>
    </xf>
    <xf numFmtId="168" fontId="47" fillId="0" borderId="1" xfId="0" applyNumberFormat="1" applyFont="1" applyBorder="1" applyAlignment="1">
      <alignment horizontal="right" vertical="top"/>
    </xf>
    <xf numFmtId="2" fontId="47" fillId="0" borderId="0" xfId="0" applyNumberFormat="1" applyFont="1" applyAlignment="1">
      <alignment horizontal="right" vertical="top"/>
    </xf>
    <xf numFmtId="166" fontId="47" fillId="0" borderId="11" xfId="0" applyNumberFormat="1" applyFont="1" applyBorder="1" applyAlignment="1">
      <alignment horizontal="right" vertical="top"/>
    </xf>
    <xf numFmtId="168" fontId="47" fillId="0" borderId="11" xfId="0" applyNumberFormat="1" applyFont="1" applyBorder="1" applyAlignment="1">
      <alignment horizontal="right" vertical="top"/>
    </xf>
    <xf numFmtId="0" fontId="47" fillId="0" borderId="0" xfId="0" applyFont="1" applyAlignment="1">
      <alignment horizontal="right" vertical="top"/>
    </xf>
    <xf numFmtId="0" fontId="47" fillId="0" borderId="1" xfId="0" applyFont="1" applyBorder="1" applyAlignment="1">
      <alignment horizontal="right" vertical="top"/>
    </xf>
    <xf numFmtId="0" fontId="47" fillId="0" borderId="11" xfId="0" applyFont="1" applyBorder="1" applyAlignment="1">
      <alignment horizontal="right" vertical="top"/>
    </xf>
    <xf numFmtId="9" fontId="47" fillId="0" borderId="0" xfId="2" applyFont="1" applyFill="1" applyBorder="1" applyAlignment="1">
      <alignment horizontal="right" vertical="top"/>
    </xf>
    <xf numFmtId="3" fontId="9" fillId="3" borderId="0" xfId="0" applyNumberFormat="1" applyFont="1" applyFill="1"/>
    <xf numFmtId="0" fontId="8" fillId="2" borderId="0" xfId="0" applyFont="1" applyFill="1"/>
    <xf numFmtId="0" fontId="9" fillId="2" borderId="0" xfId="0" applyFont="1" applyFill="1"/>
    <xf numFmtId="0" fontId="9" fillId="2" borderId="11" xfId="0" applyFont="1" applyFill="1" applyBorder="1" applyAlignment="1">
      <alignment horizontal="center" vertical="top" wrapText="1"/>
    </xf>
    <xf numFmtId="3" fontId="28" fillId="2" borderId="0" xfId="0" applyNumberFormat="1" applyFont="1" applyFill="1" applyAlignment="1">
      <alignment horizontal="right"/>
    </xf>
    <xf numFmtId="3" fontId="9" fillId="2" borderId="0" xfId="0" applyNumberFormat="1" applyFont="1" applyFill="1" applyAlignment="1">
      <alignment horizontal="right"/>
    </xf>
    <xf numFmtId="0" fontId="5" fillId="3" borderId="11" xfId="0" applyFont="1" applyFill="1" applyBorder="1" applyAlignment="1">
      <alignment horizontal="right" vertical="top" wrapText="1"/>
    </xf>
    <xf numFmtId="168" fontId="6" fillId="3" borderId="0" xfId="0" applyNumberFormat="1" applyFont="1" applyFill="1" applyAlignment="1">
      <alignment horizontal="right"/>
    </xf>
    <xf numFmtId="168" fontId="47" fillId="3" borderId="0" xfId="0" applyNumberFormat="1" applyFont="1" applyFill="1" applyAlignment="1">
      <alignment horizontal="right"/>
    </xf>
    <xf numFmtId="0" fontId="5" fillId="3" borderId="11" xfId="0" applyFont="1" applyFill="1" applyBorder="1" applyAlignment="1">
      <alignment vertical="top"/>
    </xf>
    <xf numFmtId="0" fontId="9" fillId="3" borderId="11" xfId="0" applyFont="1" applyFill="1" applyBorder="1" applyAlignment="1">
      <alignment horizontal="left" vertical="top" wrapText="1"/>
    </xf>
    <xf numFmtId="0" fontId="8" fillId="3" borderId="0" xfId="0" applyFont="1" applyFill="1" applyAlignment="1">
      <alignment wrapText="1"/>
    </xf>
    <xf numFmtId="0" fontId="9" fillId="3" borderId="11" xfId="0" applyFont="1" applyFill="1" applyBorder="1" applyAlignment="1">
      <alignment vertical="top" wrapText="1"/>
    </xf>
    <xf numFmtId="0" fontId="5" fillId="3" borderId="11" xfId="0" applyFont="1" applyFill="1" applyBorder="1" applyAlignment="1">
      <alignment horizontal="center" vertical="top" wrapText="1"/>
    </xf>
    <xf numFmtId="0" fontId="9" fillId="3" borderId="11" xfId="0" applyFont="1" applyFill="1" applyBorder="1" applyAlignment="1">
      <alignment horizontal="center" vertical="top" wrapText="1"/>
    </xf>
    <xf numFmtId="9" fontId="9" fillId="3" borderId="11" xfId="2" applyFont="1" applyFill="1" applyBorder="1" applyAlignment="1">
      <alignment horizontal="center" vertical="top" wrapText="1"/>
    </xf>
    <xf numFmtId="0" fontId="37" fillId="3" borderId="11" xfId="0" applyFont="1" applyFill="1" applyBorder="1" applyAlignment="1">
      <alignment horizontal="center" vertical="top" wrapText="1"/>
    </xf>
    <xf numFmtId="0" fontId="9" fillId="3" borderId="1" xfId="0" applyFont="1" applyFill="1" applyBorder="1" applyAlignment="1">
      <alignment horizontal="left"/>
    </xf>
    <xf numFmtId="3" fontId="9" fillId="3" borderId="1" xfId="0" applyNumberFormat="1" applyFont="1" applyFill="1" applyBorder="1" applyAlignment="1" applyProtection="1">
      <alignment horizontal="center"/>
      <protection locked="0"/>
    </xf>
    <xf numFmtId="3" fontId="7" fillId="3" borderId="1" xfId="0" applyNumberFormat="1" applyFont="1" applyFill="1" applyBorder="1" applyAlignment="1" applyProtection="1">
      <alignment horizontal="center"/>
      <protection locked="0"/>
    </xf>
    <xf numFmtId="9" fontId="7" fillId="3" borderId="1" xfId="2" applyFont="1" applyFill="1" applyBorder="1" applyAlignment="1" applyProtection="1">
      <alignment horizontal="center"/>
      <protection locked="0"/>
    </xf>
    <xf numFmtId="3" fontId="9" fillId="3" borderId="1" xfId="0" applyNumberFormat="1" applyFont="1" applyFill="1" applyBorder="1" applyAlignment="1">
      <alignment horizontal="center"/>
    </xf>
    <xf numFmtId="1" fontId="9" fillId="3" borderId="1" xfId="0" applyNumberFormat="1" applyFont="1" applyFill="1" applyBorder="1" applyAlignment="1">
      <alignment horizontal="center"/>
    </xf>
    <xf numFmtId="0" fontId="5" fillId="2" borderId="11" xfId="0" applyFont="1" applyFill="1" applyBorder="1" applyAlignment="1">
      <alignment horizontal="left" vertical="top" wrapText="1"/>
    </xf>
    <xf numFmtId="0" fontId="5" fillId="2" borderId="11" xfId="0" applyFont="1" applyFill="1" applyBorder="1" applyAlignment="1">
      <alignment horizontal="right" vertical="top" wrapText="1"/>
    </xf>
    <xf numFmtId="166" fontId="6" fillId="2" borderId="0" xfId="0" applyNumberFormat="1" applyFont="1" applyFill="1" applyAlignment="1">
      <alignment horizontal="right"/>
    </xf>
    <xf numFmtId="0" fontId="8" fillId="0" borderId="1" xfId="0" applyFont="1" applyBorder="1" applyAlignment="1">
      <alignment horizontal="left"/>
    </xf>
    <xf numFmtId="0" fontId="9" fillId="0" borderId="1" xfId="0" applyFont="1" applyBorder="1" applyAlignment="1">
      <alignment horizontal="left"/>
    </xf>
    <xf numFmtId="0" fontId="9" fillId="0" borderId="0" xfId="0" applyFont="1" applyAlignment="1">
      <alignment horizontal="left"/>
    </xf>
    <xf numFmtId="0" fontId="7" fillId="0" borderId="14" xfId="0" applyFont="1" applyBorder="1" applyAlignment="1">
      <alignment horizontal="left" vertical="top"/>
    </xf>
    <xf numFmtId="0" fontId="8" fillId="3" borderId="11" xfId="0" applyFont="1" applyFill="1" applyBorder="1" applyAlignment="1">
      <alignment horizontal="left" wrapText="1"/>
    </xf>
  </cellXfs>
  <cellStyles count="16">
    <cellStyle name="Currency 2" xfId="1" xr:uid="{00000000-0005-0000-0000-000000000000}"/>
    <cellStyle name="Followed Hyperlink" xfId="13" builtinId="9" hidden="1"/>
    <cellStyle name="Followed Hyperlink" xfId="15"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0" builtinId="8" hidden="1"/>
    <cellStyle name="Hyperlink" xfId="12" builtinId="8" hidden="1"/>
    <cellStyle name="Hyperlink" xfId="14" builtinId="8" hidden="1"/>
    <cellStyle name="Hyperlink" xfId="6" builtinId="8" hidden="1"/>
    <cellStyle name="Hyperlink" xfId="8" builtinId="8" hidden="1"/>
    <cellStyle name="Hyperlink" xfId="4" builtinId="8" hidden="1"/>
    <cellStyle name="Normal" xfId="0" builtinId="0"/>
    <cellStyle name="Percent" xfId="2" builtinId="5"/>
    <cellStyle name="Percent 2" xfId="3" xr:uid="{00000000-0005-0000-0000-00000F000000}"/>
  </cellStyles>
  <dxfs count="109">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0" indent="0" justifyLastLine="0" shrinkToFit="0" readingOrder="0"/>
      <border diagonalUp="0" diagonalDown="0">
        <left style="thin">
          <color auto="1"/>
        </left>
        <right style="thin">
          <color auto="1"/>
        </right>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alignment horizontal="right" vertical="top"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border outline="0">
        <top style="thin">
          <color auto="1"/>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border diagonalUp="0" diagonalDown="0">
        <left/>
        <right/>
        <top/>
        <bottom style="double">
          <color auto="1"/>
        </bottom>
        <vertical/>
        <horizontal/>
      </border>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indexed="9"/>
        </patternFill>
      </fill>
      <alignment horizontal="left" vertical="bottom" textRotation="0" wrapText="0" indent="0" justifyLastLine="0" shrinkToFit="0" readingOrder="0"/>
    </dxf>
    <dxf>
      <border outline="0">
        <top style="thin">
          <color auto="1"/>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indexed="9"/>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indexed="9"/>
        </patternFill>
      </fill>
    </dxf>
    <dxf>
      <border outline="0">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solid">
          <fgColor indexed="64"/>
          <bgColor indexed="9"/>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numFmt numFmtId="166" formatCode="&quot;$&quot;#,##0.0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1"/>
        <color indexed="8"/>
        <name val="Times New Roman"/>
        <family val="1"/>
        <scheme val="none"/>
      </font>
      <fill>
        <patternFill patternType="solid">
          <fgColor indexed="64"/>
          <bgColor indexed="9"/>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4" formatCode="#,##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numFmt numFmtId="166"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bottom" textRotation="0" wrapText="0" indent="0" justifyLastLine="0" shrinkToFit="0" readingOrder="0"/>
    </dxf>
    <dxf>
      <border outline="0">
        <top style="thin">
          <color auto="1"/>
        </top>
        <bottom style="thin">
          <color indexed="64"/>
        </bottom>
      </border>
    </dxf>
    <dxf>
      <alignment vertical="bottom" textRotation="0" indent="0" justifyLastLine="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right" vertical="bottom" textRotation="0" wrapText="0" indent="0" justifyLastLine="0" shrinkToFit="0" readingOrder="0"/>
    </dxf>
    <dxf>
      <border outline="0">
        <top style="thin">
          <color indexed="64"/>
        </top>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rgb="FFB34700"/>
        <name val="Times New Roman"/>
        <family val="1"/>
        <scheme val="none"/>
      </font>
      <fill>
        <patternFill patternType="solid">
          <fgColor indexed="64"/>
          <bgColor theme="0"/>
        </patternFill>
      </fill>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top" textRotation="0" wrapText="1" indent="0" justifyLastLine="0" shrinkToFit="0" readingOrder="0"/>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general" vertical="top" textRotation="0" wrapText="1" indent="0" justifyLastLine="0" shrinkToFit="0" readingOrder="0"/>
    </dxf>
    <dxf>
      <border outline="0">
        <top style="thin">
          <color auto="1"/>
        </top>
        <bottom style="thin">
          <color indexed="64"/>
        </bottom>
      </border>
    </dxf>
    <dxf>
      <border outline="0">
        <bottom style="thin">
          <color indexed="64"/>
        </bottom>
      </border>
    </dxf>
    <dxf>
      <font>
        <b val="0"/>
        <i val="0"/>
        <strike val="0"/>
        <condense val="0"/>
        <extend val="0"/>
        <outline val="0"/>
        <shadow val="0"/>
        <u val="none"/>
        <vertAlign val="baseline"/>
        <sz val="11"/>
        <color indexed="8"/>
        <name val="Times New Roman"/>
        <family val="1"/>
        <scheme val="none"/>
      </font>
      <fill>
        <patternFill patternType="solid">
          <fgColor indexed="64"/>
          <bgColor theme="0"/>
        </patternFill>
      </fill>
      <alignment horizontal="general" vertical="top" textRotation="0" wrapText="0" indent="0" justifyLastLine="0" shrinkToFit="0" readingOrder="0"/>
    </dxf>
  </dxfs>
  <tableStyles count="0" defaultTableStyle="TableStyleMedium9" defaultPivotStyle="PivotStyleLight16"/>
  <colors>
    <mruColors>
      <color rgb="FFB34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316F4C-A5AD-40A1-8A6C-9108617EA2C5}" name="Assumptions" displayName="Assumptions" ref="A4:B8" totalsRowShown="0" headerRowDxfId="108" headerRowBorderDxfId="107" tableBorderDxfId="106">
  <autoFilter ref="A4:B8" xr:uid="{8C316F4C-A5AD-40A1-8A6C-9108617EA2C5}">
    <filterColumn colId="0" hiddenButton="1"/>
    <filterColumn colId="1" hiddenButton="1"/>
  </autoFilter>
  <tableColumns count="2">
    <tableColumn id="1" xr3:uid="{0D6B10F1-A209-4207-BF22-BED582A62A33}" name="Steps"/>
    <tableColumn id="2" xr3:uid="{658A3BDF-34AA-488C-A26A-1464CE816D0D}" name="Instruction" dataDxfId="10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D0716A-BCBA-4CB3-A0C0-0AE4C499C6AD}" name="Depreciation" displayName="Depreciation" ref="A2:F10" totalsRowShown="0" headerRowDxfId="47" dataDxfId="45" headerRowBorderDxfId="46" tableBorderDxfId="44">
  <autoFilter ref="A2:F10" xr:uid="{E6D0716A-BCBA-4CB3-A0C0-0AE4C499C6AD}">
    <filterColumn colId="0" hiddenButton="1"/>
    <filterColumn colId="1" hiddenButton="1"/>
    <filterColumn colId="2" hiddenButton="1"/>
    <filterColumn colId="3" hiddenButton="1"/>
    <filterColumn colId="4" hiddenButton="1"/>
    <filterColumn colId="5" hiddenButton="1"/>
  </autoFilter>
  <tableColumns count="6">
    <tableColumn id="1" xr3:uid="{7F0C6FD0-6651-4F56-A44B-F3F34B466277}" name="Capital Requirements "/>
    <tableColumn id="2" xr3:uid="{B98A7345-4773-441F-A964-AA9357B3FACD}" name="Total Purchase Price ($)" dataDxfId="43"/>
    <tableColumn id="3" xr3:uid="{2A43744D-EC1B-4995-9181-7D6B44314FC7}" name="Number of Acres" dataDxfId="42"/>
    <tableColumn id="4" xr3:uid="{48E4CA1B-F77B-414B-AB47-B42D2CD79593}" name="Total Value Per Acre ($)" dataDxfId="41"/>
    <tableColumn id="5" xr3:uid="{E3C2E923-F2A1-4975-905F-56DFEFFB9B1A}" name="Years of Useful Life" dataDxfId="40"/>
    <tableColumn id="6" xr3:uid="{9679CFBF-78D9-4CFA-87A3-3950536197FE}" name="Depreciation Cost Per Acre ($/yr)A" dataDxfId="39"/>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F2C41C9-C6C9-4B02-85E0-2517630B05AA}" name="Establishment" displayName="Establishment" ref="A2:G118" totalsRowShown="0" headerRowDxfId="38" dataDxfId="36" headerRowBorderDxfId="37" tableBorderDxfId="35">
  <autoFilter ref="A2:G118" xr:uid="{6F2C41C9-C6C9-4B02-85E0-2517630B05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5DB83B3-C563-4319-85E2-50CDA1807D5F}" name="Year  " dataDxfId="34"/>
    <tableColumn id="2" xr3:uid="{F3317F53-2F19-4D9E-94B8-3430532E3B63}" name="Description" dataDxfId="33"/>
    <tableColumn id="3" xr3:uid="{94B2F6DC-6CE0-4587-B569-3BEBB98306D6}" name="Cost per Unit ($)" dataDxfId="32"/>
    <tableColumn id="4" xr3:uid="{80473AB8-656F-4A4A-B52B-93DBC064DECA}" name="Units per Acre" dataDxfId="31">
      <calculatedColumnFormula>'App9. Data for tables'!$G$7</calculatedColumnFormula>
    </tableColumn>
    <tableColumn id="5" xr3:uid="{592DBD5A-C84E-4B17-8503-008CF6358381}" name="Cost per Acre ($)" dataDxfId="30">
      <calculatedColumnFormula>C3*D3</calculatedColumnFormula>
    </tableColumn>
    <tableColumn id="6" xr3:uid="{E01901E4-085F-4AD3-90CF-93422E9C678B}" name="Number of Acres" dataDxfId="29">
      <calculatedColumnFormula>'App9. Data for tables'!$G$78</calculatedColumnFormula>
    </tableColumn>
    <tableColumn id="7" xr3:uid="{981CE41F-8C43-40C3-8A6B-20C3F10C0790}" name="Total Cost for Block ($)" dataDxfId="28">
      <calculatedColumnFormula>E3*F3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55467C-A7BC-430A-A107-8E66228FD515}" name="Full_production" displayName="Full_production" ref="A2:F25" totalsRowShown="0" headerRowDxfId="27" dataDxfId="25" headerRowBorderDxfId="26" tableBorderDxfId="24">
  <autoFilter ref="A2:F25" xr:uid="{A255467C-A7BC-430A-A107-8E66228FD515}">
    <filterColumn colId="0" hiddenButton="1"/>
    <filterColumn colId="1" hiddenButton="1"/>
    <filterColumn colId="2" hiddenButton="1"/>
    <filterColumn colId="3" hiddenButton="1"/>
    <filterColumn colId="4" hiddenButton="1"/>
    <filterColumn colId="5" hiddenButton="1"/>
  </autoFilter>
  <tableColumns count="6">
    <tableColumn id="1" xr3:uid="{412739CF-F3D3-418E-8186-AD7B91336F9F}" name="Description" dataDxfId="23"/>
    <tableColumn id="2" xr3:uid="{FF84227A-5CEE-419D-8080-1D35644DA45B}" name="Cost per Unit ($)" dataDxfId="22"/>
    <tableColumn id="3" xr3:uid="{F06A5A71-621B-44A0-AC2B-15EA6F097041}" name="Units per Acre" dataDxfId="21">
      <calculatedColumnFormula>'App9. Data for tables'!$H$7</calculatedColumnFormula>
    </tableColumn>
    <tableColumn id="4" xr3:uid="{5F5D8DFB-726D-4B23-9F34-57C1E60577AB}" name="Cost per Acre ($)" dataDxfId="20">
      <calculatedColumnFormula>B3*C3</calculatedColumnFormula>
    </tableColumn>
    <tableColumn id="5" xr3:uid="{B29F2A57-E2E5-49B5-BEB6-3D7DF3F152E7}" name="Number of Acres" dataDxfId="19">
      <calculatedColumnFormula>'App9. Data for tables'!$H$78</calculatedColumnFormula>
    </tableColumn>
    <tableColumn id="6" xr3:uid="{6DDDC56E-DE11-4D7C-9A7D-AEF6716AD6FF}" name="Total Cost for Block ($)" dataDxfId="18">
      <calculatedColumnFormula>D3*E3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151DF59-E3F8-49D3-9410-36ACE7CA5161}" name="Salvage_value" displayName="Salvage_value" ref="A2:G18" totalsRowShown="0" headerRowDxfId="17" headerRowBorderDxfId="16" tableBorderDxfId="15">
  <autoFilter ref="A2:G18" xr:uid="{E151DF59-E3F8-49D3-9410-36ACE7CA516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694635-28CD-435D-BDF3-8BE954BF36A2}" name="Machine/Equipment/Building (from Appendix Table 2)" dataDxfId="14"/>
    <tableColumn id="2" xr3:uid="{D1B1751F-557F-49E1-8059-478BB9FEF64C}" name="Purchase Price (from Appendix Table 2)D" dataDxfId="13"/>
    <tableColumn id="3" xr3:uid="{9A9C7067-14C7-4201-9BC1-2A3F92D4F30D}" name="Expected useful life (years)E" dataDxfId="12"/>
    <tableColumn id="4" xr3:uid="{EBBA203E-54EB-4963-BB9A-CD8E0A6B0AA3}" name="Salvage Value As % of Current Mkt ValueE" dataDxfId="11" dataCellStyle="Percent"/>
    <tableColumn id="5" xr3:uid="{B22A5483-9EC0-426F-8D04-5E85A85A76AE}" name="Salvage Value ($)F" dataDxfId="10"/>
    <tableColumn id="6" xr3:uid="{96F12983-2B1A-4127-AD49-D73CA2D85FAD}" name="Annual Depreciation Cost ($)G" dataDxfId="9"/>
    <tableColumn id="7" xr3:uid="{D23C9A92-D032-4E3C-89D5-E023C754FFDD}" name="Annual Depreciation Cost per Acre ($)H" dataDxfId="8">
      <calculatedColumnFormula>F3/'App9. Data for tables'!$H$80</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A96D06-1207-4591-8CFC-73C60A063DDF}" name="Amortization" displayName="Amortization" ref="A2:B7" totalsRowShown="0" headerRowBorderDxfId="7" tableBorderDxfId="6">
  <autoFilter ref="A2:B7" xr:uid="{89A96D06-1207-4591-8CFC-73C60A063DDF}">
    <filterColumn colId="0" hiddenButton="1"/>
    <filterColumn colId="1" hiddenButton="1"/>
  </autoFilter>
  <tableColumns count="2">
    <tableColumn id="1" xr3:uid="{67062D4B-4EE8-41D9-BAF8-3D6580416E21}" name="Variable" dataDxfId="5"/>
    <tableColumn id="2" xr3:uid="{754D53FA-6DEB-46E9-9636-BA1B3176A991}" name="Valu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F3A4985-A0BC-4BC4-8766-2AF587D454A8}" name="All_Data" displayName="All_Data" ref="A2:I82" totalsRowShown="0" headerRowDxfId="4" tableBorderDxfId="3">
  <autoFilter ref="A2:I82" xr:uid="{CF3A4985-A0BC-4BC4-8766-2AF587D454A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E549B6-05EE-4598-A2BC-5A2DBFB58DE5}" name="Variables" dataDxfId="2"/>
    <tableColumn id="2" xr3:uid="{EB124C4D-A638-467A-B886-8EC3BC024B4F}" name="Description" dataDxfId="1"/>
    <tableColumn id="3" xr3:uid="{DCF493CF-1807-44FF-80C8-95C33FF72EC5}" name="Year 1"/>
    <tableColumn id="4" xr3:uid="{02AF2F6C-2491-4FD4-BCC8-195B14F6F8FA}" name="Year 2">
      <calculatedColumnFormula>C3</calculatedColumnFormula>
    </tableColumn>
    <tableColumn id="5" xr3:uid="{04367923-2344-40C5-B334-88830AB345EC}" name="Year 3">
      <calculatedColumnFormula>D3</calculatedColumnFormula>
    </tableColumn>
    <tableColumn id="6" xr3:uid="{0938013A-3515-4E63-9896-AE4A4F081D50}" name="Year 4">
      <calculatedColumnFormula>E3</calculatedColumnFormula>
    </tableColumn>
    <tableColumn id="7" xr3:uid="{B10A4E19-1627-4BCB-AA34-060337F0E7BC}" name="Year 5">
      <calculatedColumnFormula>F3</calculatedColumnFormula>
    </tableColumn>
    <tableColumn id="8" xr3:uid="{EBCE0ADF-EAA4-4E79-A01C-143DCA3332C8}" name="Year 6 to 20 (Full Production)">
      <calculatedColumnFormula>G3</calculatedColumnFormula>
    </tableColumn>
    <tableColumn id="9" xr3:uid="{8BA05D81-B615-4E5E-93F6-DC74903EE3A9}" name="Note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E4BA04-D18D-4E6B-A61E-5F7D11CB2694}" name="Table4" displayName="Table4" ref="A10:B19" totalsRowShown="0" headerRowDxfId="104" headerRowBorderDxfId="103" tableBorderDxfId="102">
  <autoFilter ref="A10:B19" xr:uid="{9AE4BA04-D18D-4E6B-A61E-5F7D11CB2694}">
    <filterColumn colId="0" hiddenButton="1"/>
    <filterColumn colId="1" hiddenButton="1"/>
  </autoFilter>
  <tableColumns count="2">
    <tableColumn id="1" xr3:uid="{B3365FB1-62BF-47EA-B662-C36F23B41806}" name="Item " dataDxfId="101"/>
    <tableColumn id="2" xr3:uid="{07D83A1F-C4D7-4975-B703-1305B71EF3F7}" name="Assumption" dataDxfId="10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37CAC1-A856-471E-A868-BC01826257DE}" name="Specification" displayName="Specification" ref="A2:B10" totalsRowShown="0" headerRowDxfId="99" headerRowBorderDxfId="98" tableBorderDxfId="97">
  <autoFilter ref="A2:B10" xr:uid="{2837CAC1-A856-471E-A868-BC01826257DE}">
    <filterColumn colId="0" hiddenButton="1"/>
    <filterColumn colId="1" hiddenButton="1"/>
  </autoFilter>
  <tableColumns count="2">
    <tableColumn id="1" xr3:uid="{E2410B12-0AEB-4919-B3A4-B6176F4D1227}" name="Block Specification" dataDxfId="96"/>
    <tableColumn id="2" xr3:uid="{116BF069-C992-4299-9EEC-7162BE94DBF2}" name="Description" dataDxfId="9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F646B8-7D7C-4CFC-A268-6A46C9607437}" name="Yellow_budget" displayName="Yellow_budget" ref="A2:H65" totalsRowShown="0" headerRowDxfId="94" dataDxfId="92" headerRowBorderDxfId="93" tableBorderDxfId="91">
  <autoFilter ref="A2:H65" xr:uid="{FFF646B8-7D7C-4CFC-A268-6A46C96074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D0C1DA5-775F-4180-AA4C-862B3EAC30A4}" name="Return or Cost"/>
    <tableColumn id="2" xr3:uid="{ADC7BFBD-8BEE-4EED-A613-080094CE6751}" name="Description or Activity"/>
    <tableColumn id="3" xr3:uid="{DF8282FE-8B6B-4555-B5B8-CF61054C10D6}" name=" Year 1"/>
    <tableColumn id="4" xr3:uid="{0470F3B4-A3F7-4989-BC76-BABEEF7B41AB}" name="Year 2"/>
    <tableColumn id="5" xr3:uid="{A97145F8-0A54-4301-9955-32BB47CB002B}" name="Year 3"/>
    <tableColumn id="6" xr3:uid="{DF33E1B7-21EA-44C7-B12A-F151D6372513}" name="Year 4" dataDxfId="90"/>
    <tableColumn id="7" xr3:uid="{60BCB809-A56A-45FC-9D8F-97ADC01E104D}" name="Year 5" dataDxfId="89"/>
    <tableColumn id="8" xr3:uid="{905780D0-9EFD-4D4C-8BDC-BAC77A83898B}" name="Years 6 to 20 (Full Production, Annual Average)" dataDxfId="8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BBAC7-6891-433E-8C33-6984BB157D46}" name="Breakeven" displayName="Breakeven" ref="A2:E18" totalsRowShown="0" dataDxfId="86" headerRowBorderDxfId="87" tableBorderDxfId="85">
  <autoFilter ref="A2:E18" xr:uid="{D75BBAC7-6891-433E-8C33-6984BB157D46}">
    <filterColumn colId="0" hiddenButton="1"/>
    <filterColumn colId="1" hiddenButton="1"/>
    <filterColumn colId="2" hiddenButton="1"/>
    <filterColumn colId="3" hiddenButton="1"/>
    <filterColumn colId="4" hiddenButton="1"/>
  </autoFilter>
  <tableColumns count="5">
    <tableColumn id="1" xr3:uid="{D1E49269-A518-4654-8451-669608E8E63A}" name="Levels of Enterprise Costs" dataDxfId="84"/>
    <tableColumn id="2" xr3:uid="{EEE69860-8EAC-4232-9F0C-BE59ECAA40AF}" name="Sweet Cherry Size" dataDxfId="83"/>
    <tableColumn id="3" xr3:uid="{8E5D3DB0-B2A8-4D09-B601-40ABF59DFE4F}" name="Proportional Cost by Size ($/acre)" dataDxfId="82"/>
    <tableColumn id="4" xr3:uid="{B6F61611-5224-4B37-A8FF-7EDECB157909}" name="Break-even ReturnA by Grade ($ per lb)" dataDxfId="81"/>
    <tableColumn id="5" xr3:uid="{48871FD4-AB05-4FD6-8957-78B677C8E408}" name="Notes" dataDxfId="8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AC03B8-BB61-4CA7-B300-1B90B14B21DF}" name="Breakeven_values" displayName="Breakeven_values" ref="L2:M17" totalsRowShown="0" dataDxfId="78" headerRowBorderDxfId="79" tableBorderDxfId="77">
  <autoFilter ref="L2:M17" xr:uid="{1CAC03B8-BB61-4CA7-B300-1B90B14B21DF}">
    <filterColumn colId="0" hiddenButton="1"/>
    <filterColumn colId="1" hiddenButton="1"/>
  </autoFilter>
  <tableColumns count="2">
    <tableColumn id="1" xr3:uid="{31396E16-3127-49AC-B16F-DE1BCF382FE6}" name="Variables" dataDxfId="76"/>
    <tableColumn id="2" xr3:uid="{30598ADA-563B-445A-BD7C-8D3DB517FEFB}" name="Value" dataDxfId="7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AA45F38-E39B-4CA3-AB8B-7A78877AF0AE}" name="Capital_requirements" displayName="Capital_requirements" ref="A2:G14" totalsRowShown="0" headerRowDxfId="74" dataDxfId="72" headerRowBorderDxfId="73" tableBorderDxfId="71">
  <autoFilter ref="A2:G14" xr:uid="{DAA45F38-E39B-4CA3-AB8B-7A78877AF0A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F825A4A-4E1C-4504-996B-0C18E7270D42}" name="Requirements and Receipts"/>
    <tableColumn id="2" xr3:uid="{21D1B91B-50BD-48C9-A014-E91D681C33CC}" name=" Year 1" dataDxfId="70"/>
    <tableColumn id="3" xr3:uid="{4C5C7AC2-02D1-403C-8248-7611FAF50B8B}" name="Year 2" dataDxfId="69"/>
    <tableColumn id="4" xr3:uid="{3F0ED301-39D6-4462-85F0-DF0F08D9CD9A}" name="Year 3" dataDxfId="68"/>
    <tableColumn id="5" xr3:uid="{B34CE26F-6B3A-4BA3-9D93-F9096B870B07}" name="Year 4" dataDxfId="67"/>
    <tableColumn id="6" xr3:uid="{1CED8D39-B5A6-443F-8244-CADC1424F7DA}" name="Year 5" dataDxfId="66"/>
    <tableColumn id="7" xr3:uid="{2AC162A3-29EF-4ABB-8AD8-5193E93517B0}" name="Years 6 to 25 (Full Production, Annual Average)" dataDxfId="6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AFBB8A-8CFD-4155-BB3C-91CDF6F3EA31}" name="Machinery" displayName="Machinery" ref="A2:E18" totalsRowShown="0" headerRowDxfId="64" headerRowBorderDxfId="63" tableBorderDxfId="62">
  <autoFilter ref="A2:E18" xr:uid="{37AFBB8A-8CFD-4155-BB3C-91CDF6F3EA31}">
    <filterColumn colId="0" hiddenButton="1"/>
    <filterColumn colId="1" hiddenButton="1"/>
    <filterColumn colId="2" hiddenButton="1"/>
    <filterColumn colId="3" hiddenButton="1"/>
    <filterColumn colId="4" hiddenButton="1"/>
  </autoFilter>
  <tableColumns count="5">
    <tableColumn id="1" xr3:uid="{D0265E61-9AAD-41A4-AFB2-B2ADEEAC370F}" name="Requirements" dataDxfId="61"/>
    <tableColumn id="2" xr3:uid="{9FFB4628-C53D-43A9-AC3C-D62A0B4210E2}" name="Description" dataDxfId="60"/>
    <tableColumn id="3" xr3:uid="{E36531D2-CE2A-4BAB-BE42-8474A4A9A663}" name="Purchase Price ($)A" dataDxfId="59"/>
    <tableColumn id="4" xr3:uid="{70E18EFF-F165-46AC-AA8A-9268F9025973}" name="Number of Units" dataDxfId="58"/>
    <tableColumn id="5" xr3:uid="{79C60C2C-1731-4AA8-B321-1ADFB736B524}" name="Total Cost ($)" dataDxfId="5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C50669-815F-442E-B556-FA5C12198C18}" name="Interest" displayName="Interest" ref="A2:F11" totalsRowShown="0" headerRowDxfId="56" dataDxfId="54" headerRowBorderDxfId="55" tableBorderDxfId="53">
  <autoFilter ref="A2:F11" xr:uid="{27C50669-815F-442E-B556-FA5C12198C18}">
    <filterColumn colId="0" hiddenButton="1"/>
    <filterColumn colId="1" hiddenButton="1"/>
    <filterColumn colId="2" hiddenButton="1"/>
    <filterColumn colId="3" hiddenButton="1"/>
    <filterColumn colId="4" hiddenButton="1"/>
    <filterColumn colId="5" hiddenButton="1"/>
  </autoFilter>
  <tableColumns count="6">
    <tableColumn id="1" xr3:uid="{B3BEE161-63B6-4A2F-89CD-08FAE402FFAE}" name="Capital Requirements "/>
    <tableColumn id="2" xr3:uid="{7CF2FC8F-92CC-4DE4-A5C6-B74977E941EC}" name="Total Purchase Price ($)" dataDxfId="52"/>
    <tableColumn id="3" xr3:uid="{6BDA9634-E4E3-482D-A397-53C0BB1E935C}" name="Salvage Value ($)A" dataDxfId="51"/>
    <tableColumn id="4" xr3:uid="{5FEC3C9F-2C20-4302-BA78-38EB8E66A402}" name="Number of Acres" dataDxfId="50">
      <calculatedColumnFormula>'App9. Data for tables'!$H$78</calculatedColumnFormula>
    </tableColumn>
    <tableColumn id="5" xr3:uid="{2400E2F6-A67F-401B-BCEE-6EDADD707851}" name="Total Interest Cost ($)" dataDxfId="49">
      <calculatedColumnFormula>((B3+C3)/2)*'App9. Data for tables'!$H$74</calculatedColumnFormula>
    </tableColumn>
    <tableColumn id="6" xr3:uid="{40E5DF6D-6AD5-46D7-BCA7-A77D63F2D329}" name="Interest Cost Per Acre ($)B" dataDxfId="48">
      <calculatedColumnFormula>E3/D3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
  <sheetViews>
    <sheetView tabSelected="1" workbookViewId="0"/>
  </sheetViews>
  <sheetFormatPr defaultColWidth="9.140625" defaultRowHeight="15" x14ac:dyDescent="0.25"/>
  <cols>
    <col min="1" max="1" width="7.28515625" style="38" customWidth="1"/>
    <col min="2" max="2" width="131.140625" style="25" customWidth="1"/>
    <col min="3" max="3" width="9.140625" style="25"/>
    <col min="4" max="4" width="12.7109375" style="25" customWidth="1"/>
    <col min="5" max="9" width="9.140625" style="25"/>
    <col min="10" max="10" width="15.7109375" style="25" customWidth="1"/>
    <col min="11" max="11" width="9.140625" style="25"/>
    <col min="12" max="12" width="4.7109375" style="25" customWidth="1"/>
    <col min="13" max="13" width="14.7109375" style="25" customWidth="1"/>
    <col min="14" max="16384" width="9.140625" style="25"/>
  </cols>
  <sheetData>
    <row r="1" spans="1:15" ht="28.15" customHeight="1" x14ac:dyDescent="0.25">
      <c r="A1" s="147" t="s">
        <v>447</v>
      </c>
      <c r="B1" s="147"/>
      <c r="C1" s="147"/>
      <c r="D1" s="147"/>
      <c r="E1" s="147"/>
      <c r="F1" s="147"/>
      <c r="G1" s="147"/>
      <c r="H1" s="147"/>
      <c r="I1" s="147"/>
      <c r="J1" s="147"/>
      <c r="K1" s="113"/>
    </row>
    <row r="2" spans="1:15" ht="24.4" customHeight="1" x14ac:dyDescent="0.25">
      <c r="A2" s="125" t="s">
        <v>0</v>
      </c>
      <c r="O2" s="10"/>
    </row>
    <row r="3" spans="1:15" ht="18" customHeight="1" x14ac:dyDescent="0.25">
      <c r="A3" s="126" t="s">
        <v>1</v>
      </c>
      <c r="O3" s="10"/>
    </row>
    <row r="4" spans="1:15" ht="18" customHeight="1" x14ac:dyDescent="0.25">
      <c r="A4" s="130" t="s">
        <v>417</v>
      </c>
      <c r="B4" s="130" t="s">
        <v>416</v>
      </c>
      <c r="C4" s="22"/>
      <c r="D4" s="22"/>
      <c r="E4" s="22"/>
      <c r="F4" s="22"/>
      <c r="G4" s="22"/>
      <c r="H4" s="22"/>
      <c r="I4" s="22"/>
      <c r="O4" s="122"/>
    </row>
    <row r="5" spans="1:15" ht="18" customHeight="1" x14ac:dyDescent="0.25">
      <c r="A5" s="123">
        <v>1</v>
      </c>
      <c r="B5" s="128" t="s">
        <v>471</v>
      </c>
      <c r="C5" s="128"/>
      <c r="D5" s="128"/>
      <c r="E5" s="128"/>
      <c r="F5" s="128"/>
      <c r="G5" s="128"/>
      <c r="H5" s="128"/>
      <c r="I5" s="128"/>
      <c r="J5" s="128"/>
      <c r="O5" s="115"/>
    </row>
    <row r="6" spans="1:15" ht="18" customHeight="1" x14ac:dyDescent="0.25">
      <c r="A6" s="123">
        <v>2</v>
      </c>
      <c r="B6" s="34" t="s">
        <v>2</v>
      </c>
      <c r="C6" s="22"/>
      <c r="D6" s="22"/>
      <c r="E6" s="22"/>
      <c r="F6" s="22"/>
      <c r="G6" s="22"/>
      <c r="H6" s="22"/>
      <c r="I6" s="22"/>
      <c r="O6" s="115"/>
    </row>
    <row r="7" spans="1:15" ht="45.6" customHeight="1" x14ac:dyDescent="0.25">
      <c r="A7" s="124">
        <v>3</v>
      </c>
      <c r="B7" s="34" t="s">
        <v>448</v>
      </c>
      <c r="C7" s="22"/>
      <c r="D7" s="22"/>
      <c r="E7" s="22"/>
      <c r="F7" s="22"/>
      <c r="G7" s="22"/>
      <c r="H7" s="22"/>
      <c r="I7" s="22"/>
      <c r="J7" s="22"/>
      <c r="O7" s="115"/>
    </row>
    <row r="8" spans="1:15" ht="54" customHeight="1" x14ac:dyDescent="0.25">
      <c r="A8" s="124">
        <v>4</v>
      </c>
      <c r="B8" s="34" t="s">
        <v>477</v>
      </c>
      <c r="C8" s="34"/>
      <c r="D8" s="34"/>
      <c r="E8" s="34"/>
      <c r="F8" s="34"/>
      <c r="G8" s="34"/>
      <c r="H8" s="34"/>
      <c r="I8" s="34"/>
      <c r="J8" s="34"/>
      <c r="O8" s="115"/>
    </row>
    <row r="9" spans="1:15" s="10" customFormat="1" ht="30" customHeight="1" x14ac:dyDescent="0.25">
      <c r="A9" s="87" t="s">
        <v>3</v>
      </c>
      <c r="B9" s="131"/>
      <c r="C9" s="131"/>
      <c r="D9" s="131"/>
      <c r="E9" s="131"/>
      <c r="F9" s="131"/>
      <c r="G9" s="131"/>
      <c r="H9" s="131"/>
      <c r="I9" s="131"/>
      <c r="J9" s="131"/>
      <c r="O9" s="114"/>
    </row>
    <row r="10" spans="1:15" ht="18" customHeight="1" x14ac:dyDescent="0.25">
      <c r="A10" s="130" t="s">
        <v>418</v>
      </c>
      <c r="B10" s="130" t="s">
        <v>419</v>
      </c>
      <c r="N10" s="75"/>
      <c r="O10" s="115"/>
    </row>
    <row r="11" spans="1:15" ht="36" customHeight="1" x14ac:dyDescent="0.25">
      <c r="A11" s="127">
        <v>1</v>
      </c>
      <c r="B11" s="34" t="s">
        <v>478</v>
      </c>
      <c r="C11" s="34"/>
      <c r="D11" s="34"/>
      <c r="E11" s="34"/>
      <c r="F11" s="34"/>
      <c r="G11" s="34"/>
      <c r="H11" s="34"/>
      <c r="I11" s="34"/>
      <c r="J11" s="34"/>
      <c r="N11" s="76"/>
      <c r="O11" s="114"/>
    </row>
    <row r="12" spans="1:15" ht="36" customHeight="1" x14ac:dyDescent="0.25">
      <c r="A12" s="127">
        <v>2</v>
      </c>
      <c r="B12" s="34" t="s">
        <v>4</v>
      </c>
      <c r="C12" s="34"/>
      <c r="D12" s="34"/>
      <c r="E12" s="34"/>
      <c r="F12" s="34"/>
      <c r="G12" s="34"/>
      <c r="H12" s="34"/>
      <c r="I12" s="34"/>
      <c r="J12" s="34"/>
      <c r="N12" s="76"/>
    </row>
    <row r="13" spans="1:15" ht="45.6" customHeight="1" x14ac:dyDescent="0.25">
      <c r="A13" s="127">
        <v>3</v>
      </c>
      <c r="B13" s="34" t="s">
        <v>479</v>
      </c>
      <c r="C13" s="34"/>
      <c r="D13" s="34"/>
      <c r="E13" s="34"/>
      <c r="F13" s="34"/>
      <c r="G13" s="34"/>
      <c r="H13" s="34"/>
      <c r="I13" s="34"/>
      <c r="J13" s="34"/>
      <c r="N13" s="76"/>
    </row>
    <row r="14" spans="1:15" ht="18" customHeight="1" x14ac:dyDescent="0.25">
      <c r="A14" s="127">
        <v>4</v>
      </c>
      <c r="B14" s="34" t="s">
        <v>279</v>
      </c>
      <c r="C14" s="34"/>
      <c r="D14" s="34"/>
      <c r="E14" s="34"/>
      <c r="F14" s="34"/>
      <c r="G14" s="34"/>
      <c r="H14" s="34"/>
      <c r="I14" s="34"/>
      <c r="J14" s="34"/>
      <c r="N14" s="76"/>
    </row>
    <row r="15" spans="1:15" ht="18" customHeight="1" x14ac:dyDescent="0.25">
      <c r="A15" s="127">
        <v>5</v>
      </c>
      <c r="B15" s="34" t="s">
        <v>5</v>
      </c>
      <c r="C15" s="34"/>
      <c r="D15" s="34"/>
      <c r="E15" s="34"/>
      <c r="F15" s="34"/>
      <c r="G15" s="34"/>
      <c r="H15" s="34"/>
      <c r="I15" s="34"/>
      <c r="J15" s="34"/>
      <c r="N15" s="76"/>
    </row>
    <row r="16" spans="1:15" ht="48" customHeight="1" x14ac:dyDescent="0.25">
      <c r="A16" s="127">
        <v>6</v>
      </c>
      <c r="B16" s="34" t="s">
        <v>313</v>
      </c>
      <c r="C16" s="34"/>
      <c r="D16" s="34"/>
      <c r="E16" s="34"/>
      <c r="F16" s="34"/>
      <c r="G16" s="34"/>
      <c r="H16" s="34"/>
      <c r="I16" s="34"/>
      <c r="J16" s="34"/>
      <c r="K16" s="77"/>
      <c r="N16" s="76"/>
    </row>
    <row r="17" spans="1:14" ht="18" customHeight="1" x14ac:dyDescent="0.25">
      <c r="A17" s="124">
        <v>7</v>
      </c>
      <c r="B17" s="129" t="s">
        <v>480</v>
      </c>
      <c r="C17" s="129"/>
      <c r="D17" s="129"/>
      <c r="E17" s="129"/>
      <c r="F17" s="129"/>
      <c r="G17" s="129"/>
      <c r="H17" s="129"/>
      <c r="I17" s="129"/>
      <c r="J17" s="129"/>
      <c r="N17" s="76"/>
    </row>
    <row r="18" spans="1:14" ht="18" customHeight="1" x14ac:dyDescent="0.25">
      <c r="A18" s="127">
        <v>8</v>
      </c>
      <c r="B18" s="34" t="s">
        <v>309</v>
      </c>
      <c r="C18" s="34"/>
      <c r="D18" s="34"/>
      <c r="E18" s="34"/>
      <c r="F18" s="34"/>
      <c r="G18" s="34"/>
      <c r="H18" s="34"/>
      <c r="I18" s="34"/>
      <c r="J18" s="34"/>
      <c r="K18" s="77"/>
      <c r="N18" s="76"/>
    </row>
    <row r="19" spans="1:14" ht="36" customHeight="1" x14ac:dyDescent="0.25">
      <c r="A19" s="127">
        <v>9</v>
      </c>
      <c r="B19" s="34" t="s">
        <v>6</v>
      </c>
      <c r="C19" s="34"/>
      <c r="D19" s="34"/>
      <c r="E19" s="34"/>
      <c r="F19" s="34"/>
      <c r="G19" s="34"/>
      <c r="H19" s="34"/>
      <c r="I19" s="34"/>
      <c r="J19" s="34"/>
      <c r="N19" s="76"/>
    </row>
    <row r="20" spans="1:14" x14ac:dyDescent="0.25">
      <c r="A20" s="127"/>
      <c r="B20" s="22"/>
      <c r="C20" s="22"/>
      <c r="D20" s="22"/>
      <c r="E20" s="22"/>
      <c r="F20" s="22"/>
      <c r="G20" s="22"/>
      <c r="H20" s="22"/>
      <c r="I20" s="22"/>
      <c r="N20" s="76"/>
    </row>
    <row r="21" spans="1:14" x14ac:dyDescent="0.25">
      <c r="N21" s="76"/>
    </row>
    <row r="22" spans="1:14" s="10" customFormat="1" x14ac:dyDescent="0.25">
      <c r="A22" s="38"/>
      <c r="N22" s="81"/>
    </row>
    <row r="23" spans="1:14" ht="18.75" customHeight="1" x14ac:dyDescent="0.25">
      <c r="N23" s="76"/>
    </row>
    <row r="24" spans="1:14" ht="18.75" customHeight="1" x14ac:dyDescent="0.25">
      <c r="N24" s="76"/>
    </row>
    <row r="25" spans="1:14" ht="18.75" customHeight="1" x14ac:dyDescent="0.25">
      <c r="M25" s="76"/>
      <c r="N25" s="76"/>
    </row>
    <row r="26" spans="1:14" ht="18.75" customHeight="1" x14ac:dyDescent="0.25"/>
    <row r="27" spans="1:14" ht="18.75" customHeight="1" x14ac:dyDescent="0.25"/>
    <row r="28" spans="1:14" ht="18.75" customHeight="1" x14ac:dyDescent="0.25"/>
    <row r="29" spans="1:14" ht="18.75" customHeight="1" x14ac:dyDescent="0.25"/>
    <row r="30" spans="1:14" ht="18.75" customHeight="1" x14ac:dyDescent="0.25"/>
    <row r="31" spans="1:14" ht="12.75" customHeight="1" x14ac:dyDescent="0.25">
      <c r="B31" s="22"/>
      <c r="C31" s="22"/>
      <c r="D31" s="22"/>
      <c r="E31" s="22"/>
      <c r="F31" s="22"/>
      <c r="G31" s="22"/>
      <c r="H31" s="22"/>
      <c r="I31" s="22"/>
      <c r="N31" s="76"/>
    </row>
    <row r="32" spans="1:14" x14ac:dyDescent="0.25">
      <c r="B32" s="34"/>
      <c r="C32" s="34"/>
      <c r="D32" s="34"/>
      <c r="E32" s="34"/>
      <c r="F32" s="34"/>
      <c r="G32" s="34"/>
      <c r="H32" s="34"/>
      <c r="I32" s="34"/>
      <c r="J32" s="34"/>
    </row>
  </sheetData>
  <phoneticPr fontId="17" type="noConversion"/>
  <pageMargins left="0.7" right="0.7" top="0.75" bottom="0.75" header="0.3" footer="0.3"/>
  <pageSetup scale="72" orientation="portrait" r:id="rId1"/>
  <tableParts count="2">
    <tablePart r:id="rId2"/>
    <tablePart r:id="rId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5"/>
  <sheetViews>
    <sheetView workbookViewId="0"/>
  </sheetViews>
  <sheetFormatPr defaultColWidth="9.140625" defaultRowHeight="15" x14ac:dyDescent="0.25"/>
  <cols>
    <col min="1" max="1" width="52.5703125" style="7" customWidth="1"/>
    <col min="2" max="2" width="12.28515625" style="36" customWidth="1"/>
    <col min="3" max="3" width="10.7109375" style="36" customWidth="1"/>
    <col min="4" max="4" width="12.5703125" style="36" customWidth="1"/>
    <col min="5" max="5" width="11.42578125" style="36" customWidth="1"/>
    <col min="6" max="6" width="14.7109375" style="36" customWidth="1"/>
    <col min="7" max="7" width="4.42578125" style="36" customWidth="1"/>
    <col min="8" max="9" width="9.140625" style="7"/>
    <col min="10" max="16384" width="9.140625" style="8"/>
  </cols>
  <sheetData>
    <row r="1" spans="1:9" ht="30" customHeight="1" x14ac:dyDescent="0.3">
      <c r="A1" s="162" t="s">
        <v>460</v>
      </c>
      <c r="B1" s="261"/>
      <c r="C1" s="261"/>
      <c r="D1" s="261"/>
      <c r="E1" s="261"/>
      <c r="F1" s="261"/>
    </row>
    <row r="2" spans="1:9" s="10" customFormat="1" ht="29.25" x14ac:dyDescent="0.25">
      <c r="A2" s="98" t="s">
        <v>59</v>
      </c>
      <c r="B2" s="102" t="s">
        <v>107</v>
      </c>
      <c r="C2" s="102" t="s">
        <v>108</v>
      </c>
      <c r="D2" s="102" t="s">
        <v>109</v>
      </c>
      <c r="E2" s="102" t="s">
        <v>88</v>
      </c>
      <c r="F2" s="103" t="s">
        <v>110</v>
      </c>
      <c r="G2" s="36"/>
      <c r="H2" s="7"/>
      <c r="I2" s="7"/>
    </row>
    <row r="3" spans="1:9" ht="18" customHeight="1" x14ac:dyDescent="0.25">
      <c r="A3" s="11" t="s">
        <v>384</v>
      </c>
      <c r="B3" s="35"/>
      <c r="C3" s="35"/>
      <c r="D3" s="94">
        <f>'App9. Data for tables'!$H$24</f>
        <v>300</v>
      </c>
      <c r="E3" s="95">
        <f>'App9. Data for tables'!$H$78</f>
        <v>11</v>
      </c>
      <c r="F3" s="35">
        <f t="shared" ref="F3:F25" si="0">D3*E3</f>
        <v>3300</v>
      </c>
      <c r="H3" s="10"/>
      <c r="I3" s="10"/>
    </row>
    <row r="4" spans="1:9" ht="18" customHeight="1" x14ac:dyDescent="0.25">
      <c r="A4" s="11" t="s">
        <v>319</v>
      </c>
      <c r="B4" s="35"/>
      <c r="C4" s="35"/>
      <c r="D4" s="94">
        <f>'App9. Data for tables'!$H$26</f>
        <v>0</v>
      </c>
      <c r="E4" s="95">
        <f>'App9. Data for tables'!$H$78</f>
        <v>11</v>
      </c>
      <c r="F4" s="35">
        <f t="shared" ref="F4" si="1">D4*E4</f>
        <v>0</v>
      </c>
      <c r="H4" s="10"/>
      <c r="I4" s="10"/>
    </row>
    <row r="5" spans="1:9" ht="18" customHeight="1" x14ac:dyDescent="0.25">
      <c r="A5" s="7" t="s">
        <v>119</v>
      </c>
      <c r="B5" s="94"/>
      <c r="C5" s="95"/>
      <c r="D5" s="35">
        <f>('App9. Data for tables'!$H$33*'App9. Data for tables'!$H$34)+('App9. Data for tables'!$H$35*'App9. Data for tables'!$H$36)+('App9. Data for tables'!$H$37*'App9. Data for tables'!$H$38)</f>
        <v>1254.54</v>
      </c>
      <c r="E5" s="95">
        <f>'App9. Data for tables'!$H$78</f>
        <v>11</v>
      </c>
      <c r="F5" s="35">
        <f t="shared" si="0"/>
        <v>13799.939999999999</v>
      </c>
    </row>
    <row r="6" spans="1:9" ht="18" customHeight="1" x14ac:dyDescent="0.25">
      <c r="A6" s="7" t="s">
        <v>363</v>
      </c>
      <c r="B6" s="94"/>
      <c r="C6" s="95"/>
      <c r="D6" s="35">
        <f>('App9. Data for tables'!$H$39*'App9. Data for tables'!$H$40)+('App9. Data for tables'!$H$41*'App9. Data for tables'!$H$42)</f>
        <v>0</v>
      </c>
      <c r="E6" s="95">
        <f>'App9. Data for tables'!$H$78</f>
        <v>11</v>
      </c>
      <c r="F6" s="35">
        <f t="shared" si="0"/>
        <v>0</v>
      </c>
    </row>
    <row r="7" spans="1:9" ht="18" customHeight="1" x14ac:dyDescent="0.25">
      <c r="A7" s="11" t="s">
        <v>347</v>
      </c>
      <c r="B7" s="35"/>
      <c r="C7" s="95"/>
      <c r="D7" s="94">
        <f>'App9. Data for tables'!$H$43</f>
        <v>1740</v>
      </c>
      <c r="E7" s="95">
        <f>'App9. Data for tables'!$H$78</f>
        <v>11</v>
      </c>
      <c r="F7" s="35">
        <f t="shared" si="0"/>
        <v>19140</v>
      </c>
    </row>
    <row r="8" spans="1:9" ht="18" customHeight="1" x14ac:dyDescent="0.25">
      <c r="A8" s="7" t="s">
        <v>365</v>
      </c>
      <c r="B8" s="35"/>
      <c r="C8" s="95"/>
      <c r="D8" s="94">
        <f>('App9. Data for tables'!$H$44*'App9. Data for tables'!$H$45)</f>
        <v>407.34</v>
      </c>
      <c r="E8" s="95">
        <f>'App9. Data for tables'!$H$78</f>
        <v>11</v>
      </c>
      <c r="F8" s="35">
        <f t="shared" ref="F8" si="2">D8*E8</f>
        <v>4480.74</v>
      </c>
    </row>
    <row r="9" spans="1:9" ht="18" customHeight="1" x14ac:dyDescent="0.25">
      <c r="A9" s="11" t="s">
        <v>368</v>
      </c>
      <c r="B9" s="94"/>
      <c r="C9" s="111"/>
      <c r="D9" s="35">
        <f>'App9. Data for tables'!$H$46</f>
        <v>230</v>
      </c>
      <c r="E9" s="95">
        <f>'App9. Data for tables'!$H$78</f>
        <v>11</v>
      </c>
      <c r="F9" s="35">
        <f t="shared" si="0"/>
        <v>2530</v>
      </c>
    </row>
    <row r="10" spans="1:9" ht="18" customHeight="1" x14ac:dyDescent="0.25">
      <c r="A10" s="11" t="s">
        <v>369</v>
      </c>
      <c r="B10" s="94"/>
      <c r="C10" s="111"/>
      <c r="D10" s="35">
        <f>('App9. Data for tables'!$H$47*'App9. Data for tables'!$H$48)</f>
        <v>181.04</v>
      </c>
      <c r="E10" s="95">
        <f>'App9. Data for tables'!$H$78</f>
        <v>11</v>
      </c>
      <c r="F10" s="35">
        <f t="shared" si="0"/>
        <v>1991.4399999999998</v>
      </c>
    </row>
    <row r="11" spans="1:9" ht="18" customHeight="1" x14ac:dyDescent="0.25">
      <c r="A11" s="11" t="s">
        <v>115</v>
      </c>
      <c r="B11" s="94"/>
      <c r="C11" s="111"/>
      <c r="D11" s="94">
        <f>'App9. Data for tables'!$H$49</f>
        <v>155</v>
      </c>
      <c r="E11" s="95">
        <f>'App9. Data for tables'!$H$78</f>
        <v>11</v>
      </c>
      <c r="F11" s="35">
        <f t="shared" si="0"/>
        <v>1705</v>
      </c>
    </row>
    <row r="12" spans="1:9" ht="18" customHeight="1" x14ac:dyDescent="0.25">
      <c r="A12" s="11" t="s">
        <v>116</v>
      </c>
      <c r="B12" s="35"/>
      <c r="C12" s="35"/>
      <c r="D12" s="94">
        <f>'App9. Data for tables'!$H$50</f>
        <v>120</v>
      </c>
      <c r="E12" s="95">
        <f>'App9. Data for tables'!$H$78</f>
        <v>11</v>
      </c>
      <c r="F12" s="35">
        <f t="shared" si="0"/>
        <v>1320</v>
      </c>
    </row>
    <row r="13" spans="1:9" ht="18" customHeight="1" x14ac:dyDescent="0.25">
      <c r="A13" s="11" t="s">
        <v>370</v>
      </c>
      <c r="B13" s="35"/>
      <c r="C13" s="35"/>
      <c r="D13" s="94">
        <f>('App9. Data for tables'!$H$51*'App9. Data for tables'!$H$52)</f>
        <v>226.29999999999998</v>
      </c>
      <c r="E13" s="95">
        <f>'App9. Data for tables'!$H$78</f>
        <v>11</v>
      </c>
      <c r="F13" s="35">
        <f t="shared" si="0"/>
        <v>2489.2999999999997</v>
      </c>
    </row>
    <row r="14" spans="1:9" ht="18" customHeight="1" x14ac:dyDescent="0.25">
      <c r="A14" s="7" t="s">
        <v>24</v>
      </c>
      <c r="B14" s="94"/>
      <c r="C14" s="111"/>
      <c r="D14" s="35">
        <f>'App9. Data for tables'!$H$53*'App9. Data for tables'!$H$54</f>
        <v>195</v>
      </c>
      <c r="E14" s="95">
        <f>'App9. Data for tables'!$H$78</f>
        <v>11</v>
      </c>
      <c r="F14" s="35">
        <f t="shared" si="0"/>
        <v>2145</v>
      </c>
    </row>
    <row r="15" spans="1:9" ht="18" customHeight="1" x14ac:dyDescent="0.25">
      <c r="A15" s="11" t="s">
        <v>372</v>
      </c>
      <c r="B15" s="35"/>
      <c r="C15" s="35"/>
      <c r="D15" s="94">
        <f>SUM('App9. Data for tables'!$H$56:$H$60)</f>
        <v>285</v>
      </c>
      <c r="E15" s="95">
        <f>'App9. Data for tables'!$H$78</f>
        <v>11</v>
      </c>
      <c r="F15" s="35">
        <f t="shared" si="0"/>
        <v>3135</v>
      </c>
    </row>
    <row r="16" spans="1:9" ht="18" customHeight="1" x14ac:dyDescent="0.25">
      <c r="A16" s="11" t="s">
        <v>374</v>
      </c>
      <c r="B16" s="35"/>
      <c r="C16" s="35"/>
      <c r="D16" s="94">
        <f>'App9. Data for tables'!$H$61</f>
        <v>180</v>
      </c>
      <c r="E16" s="95">
        <f>'App9. Data for tables'!$H$78</f>
        <v>11</v>
      </c>
      <c r="F16" s="35">
        <f t="shared" si="0"/>
        <v>1980</v>
      </c>
    </row>
    <row r="17" spans="1:6" ht="18" customHeight="1" x14ac:dyDescent="0.25">
      <c r="A17" s="11" t="s">
        <v>375</v>
      </c>
      <c r="B17" s="94"/>
      <c r="C17" s="111"/>
      <c r="D17" s="35">
        <f>'App9. Data for tables'!$H$66</f>
        <v>100</v>
      </c>
      <c r="E17" s="95">
        <f>'App9. Data for tables'!$H$78</f>
        <v>11</v>
      </c>
      <c r="F17" s="35">
        <f t="shared" si="0"/>
        <v>1100</v>
      </c>
    </row>
    <row r="18" spans="1:6" ht="18" customHeight="1" x14ac:dyDescent="0.25">
      <c r="A18" s="11" t="s">
        <v>28</v>
      </c>
      <c r="B18" s="35"/>
      <c r="C18" s="95"/>
      <c r="D18" s="94">
        <f>'App9. Data for tables'!$H$67</f>
        <v>190</v>
      </c>
      <c r="E18" s="95">
        <f>'App9. Data for tables'!$H$78</f>
        <v>11</v>
      </c>
      <c r="F18" s="35">
        <f t="shared" si="0"/>
        <v>2090</v>
      </c>
    </row>
    <row r="19" spans="1:6" ht="18" customHeight="1" x14ac:dyDescent="0.25">
      <c r="A19" s="11" t="s">
        <v>29</v>
      </c>
      <c r="B19" s="35"/>
      <c r="C19" s="35"/>
      <c r="D19" s="94">
        <f>'App9. Data for tables'!$H$69</f>
        <v>120</v>
      </c>
      <c r="E19" s="95">
        <f>'App9. Data for tables'!$H$78</f>
        <v>11</v>
      </c>
      <c r="F19" s="35">
        <f t="shared" si="0"/>
        <v>1320</v>
      </c>
    </row>
    <row r="20" spans="1:6" ht="18" customHeight="1" x14ac:dyDescent="0.25">
      <c r="A20" s="11" t="s">
        <v>299</v>
      </c>
      <c r="B20" s="35"/>
      <c r="C20" s="35"/>
      <c r="D20" s="94">
        <f>'App9. Data for tables'!$H$70+'App9. Data for tables'!$H$71</f>
        <v>425</v>
      </c>
      <c r="E20" s="95">
        <f>'App9. Data for tables'!$H$78</f>
        <v>11</v>
      </c>
      <c r="F20" s="35">
        <f t="shared" si="0"/>
        <v>4675</v>
      </c>
    </row>
    <row r="21" spans="1:6" ht="18" customHeight="1" x14ac:dyDescent="0.25">
      <c r="A21" s="11" t="s">
        <v>378</v>
      </c>
      <c r="B21" s="35"/>
      <c r="C21" s="35"/>
      <c r="D21" s="94">
        <f>'App9. Data for tables'!$H$72</f>
        <v>700</v>
      </c>
      <c r="E21" s="95">
        <f>'App9. Data for tables'!$H$78</f>
        <v>11</v>
      </c>
      <c r="F21" s="35">
        <f t="shared" si="0"/>
        <v>7700</v>
      </c>
    </row>
    <row r="22" spans="1:6" ht="18" customHeight="1" x14ac:dyDescent="0.25">
      <c r="A22" s="11" t="s">
        <v>465</v>
      </c>
      <c r="B22" s="94">
        <f>'App9. Data for tables'!$H$62</f>
        <v>0.33</v>
      </c>
      <c r="C22" s="95">
        <f>'App9. Data for tables'!$H$7</f>
        <v>18000</v>
      </c>
      <c r="D22" s="35">
        <f>B22*C22</f>
        <v>5940</v>
      </c>
      <c r="E22" s="95">
        <f>'App9. Data for tables'!$H$78</f>
        <v>11</v>
      </c>
      <c r="F22" s="35">
        <f t="shared" si="0"/>
        <v>65340</v>
      </c>
    </row>
    <row r="23" spans="1:6" ht="18" customHeight="1" x14ac:dyDescent="0.25">
      <c r="A23" s="11" t="s">
        <v>466</v>
      </c>
      <c r="B23" s="94">
        <f>'App9. Data for tables'!$H$63</f>
        <v>0.15</v>
      </c>
      <c r="C23" s="95">
        <f>'App9. Data for tables'!$H$7</f>
        <v>18000</v>
      </c>
      <c r="D23" s="35">
        <f>B23*C23</f>
        <v>2700</v>
      </c>
      <c r="E23" s="95">
        <f>'App9. Data for tables'!$H$78</f>
        <v>11</v>
      </c>
      <c r="F23" s="35">
        <f t="shared" si="0"/>
        <v>29700</v>
      </c>
    </row>
    <row r="24" spans="1:6" ht="18" customHeight="1" x14ac:dyDescent="0.25">
      <c r="A24" s="11" t="s">
        <v>467</v>
      </c>
      <c r="B24" s="94">
        <f>'App9. Data for tables'!$H$64</f>
        <v>0.05</v>
      </c>
      <c r="C24" s="95">
        <f>'App9. Data for tables'!$H$7</f>
        <v>18000</v>
      </c>
      <c r="D24" s="35">
        <f>B24*C24</f>
        <v>900</v>
      </c>
      <c r="E24" s="95">
        <f>'App9. Data for tables'!$H$78</f>
        <v>11</v>
      </c>
      <c r="F24" s="35">
        <f t="shared" si="0"/>
        <v>9900</v>
      </c>
    </row>
    <row r="25" spans="1:6" ht="18" customHeight="1" x14ac:dyDescent="0.25">
      <c r="A25" s="11" t="s">
        <v>468</v>
      </c>
      <c r="B25" s="94">
        <f>'App9. Data for tables'!$H$65</f>
        <v>0.9</v>
      </c>
      <c r="C25" s="95">
        <f>'App9. Data for tables'!$H$7</f>
        <v>18000</v>
      </c>
      <c r="D25" s="35">
        <f>B25*C25</f>
        <v>16200</v>
      </c>
      <c r="E25" s="95">
        <f>'App9. Data for tables'!$H$78</f>
        <v>11</v>
      </c>
      <c r="F25" s="35">
        <f t="shared" si="0"/>
        <v>178200</v>
      </c>
    </row>
    <row r="26" spans="1:6" ht="18" customHeight="1" x14ac:dyDescent="0.25">
      <c r="A26" s="7" t="s">
        <v>49</v>
      </c>
      <c r="B26" s="94"/>
      <c r="C26" s="95"/>
      <c r="D26" s="35"/>
      <c r="E26" s="95"/>
      <c r="F26" s="35"/>
    </row>
    <row r="27" spans="1:6" ht="18" customHeight="1" x14ac:dyDescent="0.25">
      <c r="A27" s="9" t="s">
        <v>364</v>
      </c>
    </row>
    <row r="28" spans="1:6" ht="18" customHeight="1" x14ac:dyDescent="0.25">
      <c r="A28" s="9" t="s">
        <v>366</v>
      </c>
      <c r="B28" s="9"/>
      <c r="C28" s="9"/>
      <c r="D28" s="9"/>
      <c r="E28" s="9"/>
      <c r="F28" s="9"/>
    </row>
    <row r="29" spans="1:6" ht="18" customHeight="1" x14ac:dyDescent="0.25">
      <c r="A29" s="9" t="s">
        <v>367</v>
      </c>
    </row>
    <row r="30" spans="1:6" ht="18" customHeight="1" x14ac:dyDescent="0.25">
      <c r="A30" s="9" t="s">
        <v>371</v>
      </c>
      <c r="D30" s="95"/>
    </row>
    <row r="31" spans="1:6" ht="18" customHeight="1" x14ac:dyDescent="0.25">
      <c r="A31" s="9" t="s">
        <v>373</v>
      </c>
      <c r="B31" s="139"/>
      <c r="C31" s="139"/>
      <c r="D31" s="139"/>
      <c r="E31" s="139"/>
      <c r="F31" s="139"/>
    </row>
    <row r="32" spans="1:6" ht="18" customHeight="1" x14ac:dyDescent="0.25">
      <c r="A32" s="9" t="s">
        <v>376</v>
      </c>
      <c r="B32" s="139"/>
      <c r="C32" s="139"/>
      <c r="D32" s="139"/>
      <c r="E32" s="139"/>
      <c r="F32" s="139"/>
    </row>
    <row r="33" spans="1:1" ht="18" customHeight="1" x14ac:dyDescent="0.25">
      <c r="A33" s="9" t="s">
        <v>377</v>
      </c>
    </row>
    <row r="34" spans="1:1" x14ac:dyDescent="0.25">
      <c r="A34" s="9"/>
    </row>
    <row r="35" spans="1:1" x14ac:dyDescent="0.25">
      <c r="A35" s="9"/>
    </row>
  </sheetData>
  <protectedRanges>
    <protectedRange sqref="B14:C14 B15:D17 B19:D26 B5:D13" name="Range2"/>
    <protectedRange sqref="B18:D18" name="Range2_1"/>
    <protectedRange sqref="B3:D4" name="Range2_3"/>
    <protectedRange sqref="D14" name="Range2_5"/>
  </protectedRanges>
  <phoneticPr fontId="17" type="noConversion"/>
  <pageMargins left="0.7" right="0.7" top="0.75" bottom="0.75" header="0.3" footer="0.3"/>
  <pageSetup orientation="portrait"/>
  <ignoredErrors>
    <ignoredError sqref="B22:B25" unlockedFormula="1"/>
  </ignoredErrors>
  <tableParts count="1">
    <tablePart r:id="rId1"/>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workbookViewId="0">
      <selection sqref="A1:G1"/>
    </sheetView>
  </sheetViews>
  <sheetFormatPr defaultColWidth="23.140625" defaultRowHeight="15.75" x14ac:dyDescent="0.25"/>
  <cols>
    <col min="1" max="1" width="24.7109375" style="6" customWidth="1"/>
    <col min="2" max="2" width="24" style="110" customWidth="1"/>
    <col min="3" max="3" width="16.28515625" style="110" customWidth="1"/>
    <col min="4" max="4" width="19.28515625" style="110" customWidth="1"/>
    <col min="5" max="5" width="12.5703125" style="110" customWidth="1"/>
    <col min="6" max="6" width="15.28515625" style="110" customWidth="1"/>
    <col min="7" max="7" width="18.5703125" style="110" customWidth="1"/>
    <col min="8" max="8" width="4.42578125" style="10" customWidth="1"/>
    <col min="9" max="247" width="9.140625" style="13" customWidth="1"/>
    <col min="248" max="248" width="25" style="13" customWidth="1"/>
    <col min="249" max="16384" width="23.140625" style="13"/>
  </cols>
  <sheetData>
    <row r="1" spans="1:7" ht="30" customHeight="1" x14ac:dyDescent="0.3">
      <c r="A1" s="280" t="s">
        <v>256</v>
      </c>
      <c r="B1" s="280"/>
      <c r="C1" s="280"/>
      <c r="D1" s="280"/>
      <c r="E1" s="280"/>
      <c r="F1" s="280"/>
      <c r="G1" s="280"/>
    </row>
    <row r="2" spans="1:7" ht="47.45" customHeight="1" x14ac:dyDescent="0.25">
      <c r="A2" s="262" t="s">
        <v>257</v>
      </c>
      <c r="B2" s="263" t="s">
        <v>258</v>
      </c>
      <c r="C2" s="264" t="s">
        <v>122</v>
      </c>
      <c r="D2" s="265" t="s">
        <v>259</v>
      </c>
      <c r="E2" s="264" t="s">
        <v>125</v>
      </c>
      <c r="F2" s="264" t="s">
        <v>123</v>
      </c>
      <c r="G2" s="266" t="s">
        <v>124</v>
      </c>
    </row>
    <row r="3" spans="1:7" ht="18" customHeight="1" x14ac:dyDescent="0.25">
      <c r="A3" s="11" t="s">
        <v>126</v>
      </c>
      <c r="B3" s="201">
        <f>'App2. Mach Etc Req'!E3</f>
        <v>150000</v>
      </c>
      <c r="C3" s="229">
        <v>30</v>
      </c>
      <c r="D3" s="230">
        <v>0</v>
      </c>
      <c r="E3" s="201">
        <f t="shared" ref="E3:E17" si="0">D3*B3</f>
        <v>0</v>
      </c>
      <c r="F3" s="106">
        <f t="shared" ref="F3:F17" si="1">(B3-E3)/C3</f>
        <v>5000</v>
      </c>
      <c r="G3" s="104">
        <f>F3/'App9. Data for tables'!$H$80</f>
        <v>16.666666666666668</v>
      </c>
    </row>
    <row r="4" spans="1:7" ht="18" customHeight="1" x14ac:dyDescent="0.25">
      <c r="A4" s="11" t="s">
        <v>63</v>
      </c>
      <c r="B4" s="201">
        <f>'App2. Mach Etc Req'!E4</f>
        <v>325000</v>
      </c>
      <c r="C4" s="229">
        <v>10</v>
      </c>
      <c r="D4" s="230">
        <v>0.1</v>
      </c>
      <c r="E4" s="201">
        <f t="shared" si="0"/>
        <v>32500</v>
      </c>
      <c r="F4" s="106">
        <f t="shared" si="1"/>
        <v>29250</v>
      </c>
      <c r="G4" s="104">
        <f>F4/'App9. Data for tables'!$H$80</f>
        <v>97.5</v>
      </c>
    </row>
    <row r="5" spans="1:7" ht="18" customHeight="1" x14ac:dyDescent="0.25">
      <c r="A5" s="11" t="s">
        <v>65</v>
      </c>
      <c r="B5" s="201">
        <f>'App2. Mach Etc Req'!E5</f>
        <v>120000</v>
      </c>
      <c r="C5" s="229">
        <v>10</v>
      </c>
      <c r="D5" s="230">
        <v>0.1</v>
      </c>
      <c r="E5" s="201">
        <f t="shared" si="0"/>
        <v>12000</v>
      </c>
      <c r="F5" s="106">
        <f t="shared" si="1"/>
        <v>10800</v>
      </c>
      <c r="G5" s="104">
        <f>F5/'App9. Data for tables'!$H$80</f>
        <v>36</v>
      </c>
    </row>
    <row r="6" spans="1:7" ht="18" customHeight="1" x14ac:dyDescent="0.25">
      <c r="A6" s="11" t="s">
        <v>127</v>
      </c>
      <c r="B6" s="201">
        <f>'App2. Mach Etc Req'!E6</f>
        <v>24000</v>
      </c>
      <c r="C6" s="229">
        <v>5</v>
      </c>
      <c r="D6" s="230">
        <v>0.1</v>
      </c>
      <c r="E6" s="201">
        <f t="shared" si="0"/>
        <v>2400</v>
      </c>
      <c r="F6" s="106">
        <f t="shared" si="1"/>
        <v>4320</v>
      </c>
      <c r="G6" s="104">
        <f>F6/'App9. Data for tables'!$H$80</f>
        <v>14.4</v>
      </c>
    </row>
    <row r="7" spans="1:7" ht="18" customHeight="1" x14ac:dyDescent="0.25">
      <c r="A7" s="11" t="s">
        <v>128</v>
      </c>
      <c r="B7" s="201">
        <f>'App2. Mach Etc Req'!E7</f>
        <v>150000</v>
      </c>
      <c r="C7" s="229">
        <v>10</v>
      </c>
      <c r="D7" s="230">
        <v>0.1</v>
      </c>
      <c r="E7" s="201">
        <f t="shared" si="0"/>
        <v>15000</v>
      </c>
      <c r="F7" s="106">
        <f t="shared" si="1"/>
        <v>13500</v>
      </c>
      <c r="G7" s="104">
        <f>F7/'App9. Data for tables'!$H$80</f>
        <v>45</v>
      </c>
    </row>
    <row r="8" spans="1:7" ht="18" customHeight="1" x14ac:dyDescent="0.25">
      <c r="A8" s="11" t="s">
        <v>129</v>
      </c>
      <c r="B8" s="201">
        <f>'App2. Mach Etc Req'!E8</f>
        <v>7000</v>
      </c>
      <c r="C8" s="229">
        <v>10</v>
      </c>
      <c r="D8" s="230">
        <v>0.1</v>
      </c>
      <c r="E8" s="201">
        <f t="shared" si="0"/>
        <v>700</v>
      </c>
      <c r="F8" s="106">
        <f t="shared" si="1"/>
        <v>630</v>
      </c>
      <c r="G8" s="104">
        <f>F8/'App9. Data for tables'!$H$80</f>
        <v>2.1</v>
      </c>
    </row>
    <row r="9" spans="1:7" ht="18" customHeight="1" x14ac:dyDescent="0.25">
      <c r="A9" s="11" t="s">
        <v>130</v>
      </c>
      <c r="B9" s="201">
        <f>'App2. Mach Etc Req'!E9</f>
        <v>7800</v>
      </c>
      <c r="C9" s="229">
        <v>10</v>
      </c>
      <c r="D9" s="230">
        <v>0.1</v>
      </c>
      <c r="E9" s="201">
        <f t="shared" si="0"/>
        <v>780</v>
      </c>
      <c r="F9" s="106">
        <f t="shared" si="1"/>
        <v>702</v>
      </c>
      <c r="G9" s="104">
        <f>F9/'App9. Data for tables'!$H$80</f>
        <v>2.34</v>
      </c>
    </row>
    <row r="10" spans="1:7" ht="18" customHeight="1" x14ac:dyDescent="0.25">
      <c r="A10" s="11" t="s">
        <v>131</v>
      </c>
      <c r="B10" s="201">
        <f>'App2. Mach Etc Req'!E10</f>
        <v>12000</v>
      </c>
      <c r="C10" s="229">
        <v>10</v>
      </c>
      <c r="D10" s="230">
        <v>0.1</v>
      </c>
      <c r="E10" s="201">
        <f t="shared" si="0"/>
        <v>1200</v>
      </c>
      <c r="F10" s="106">
        <f t="shared" si="1"/>
        <v>1080</v>
      </c>
      <c r="G10" s="104">
        <f>F10/'App9. Data for tables'!$H$80</f>
        <v>3.6</v>
      </c>
    </row>
    <row r="11" spans="1:7" ht="18" customHeight="1" x14ac:dyDescent="0.25">
      <c r="A11" s="11" t="s">
        <v>132</v>
      </c>
      <c r="B11" s="201">
        <f>'App2. Mach Etc Req'!E11</f>
        <v>100000</v>
      </c>
      <c r="C11" s="229">
        <v>10</v>
      </c>
      <c r="D11" s="230">
        <v>0.1</v>
      </c>
      <c r="E11" s="201">
        <f t="shared" si="0"/>
        <v>10000</v>
      </c>
      <c r="F11" s="106">
        <f t="shared" si="1"/>
        <v>9000</v>
      </c>
      <c r="G11" s="104">
        <f>F11/'App9. Data for tables'!$H$80</f>
        <v>30</v>
      </c>
    </row>
    <row r="12" spans="1:7" ht="18" customHeight="1" x14ac:dyDescent="0.25">
      <c r="A12" s="12" t="s">
        <v>133</v>
      </c>
      <c r="B12" s="201">
        <f>'App2. Mach Etc Req'!E12</f>
        <v>44000</v>
      </c>
      <c r="C12" s="229">
        <v>10</v>
      </c>
      <c r="D12" s="230">
        <v>0.1</v>
      </c>
      <c r="E12" s="201">
        <f t="shared" si="0"/>
        <v>4400</v>
      </c>
      <c r="F12" s="106">
        <f t="shared" si="1"/>
        <v>3960</v>
      </c>
      <c r="G12" s="104">
        <f>F12/'App9. Data for tables'!$H$80</f>
        <v>13.2</v>
      </c>
    </row>
    <row r="13" spans="1:7" ht="18" customHeight="1" x14ac:dyDescent="0.25">
      <c r="A13" s="12" t="s">
        <v>134</v>
      </c>
      <c r="B13" s="201">
        <f>'App2. Mach Etc Req'!E13</f>
        <v>130000</v>
      </c>
      <c r="C13" s="229">
        <v>10</v>
      </c>
      <c r="D13" s="230">
        <v>0.1</v>
      </c>
      <c r="E13" s="201">
        <f t="shared" si="0"/>
        <v>13000</v>
      </c>
      <c r="F13" s="106">
        <f t="shared" si="1"/>
        <v>11700</v>
      </c>
      <c r="G13" s="104">
        <f>F13/'App9. Data for tables'!$H$80</f>
        <v>39</v>
      </c>
    </row>
    <row r="14" spans="1:7" ht="18" customHeight="1" x14ac:dyDescent="0.25">
      <c r="A14" s="12" t="s">
        <v>135</v>
      </c>
      <c r="B14" s="201">
        <f>'App2. Mach Etc Req'!E14</f>
        <v>12000</v>
      </c>
      <c r="C14" s="229">
        <v>10</v>
      </c>
      <c r="D14" s="230">
        <v>0.1</v>
      </c>
      <c r="E14" s="201">
        <f t="shared" si="0"/>
        <v>1200</v>
      </c>
      <c r="F14" s="106">
        <f t="shared" si="1"/>
        <v>1080</v>
      </c>
      <c r="G14" s="104">
        <f>F14/'App9. Data for tables'!$H$80</f>
        <v>3.6</v>
      </c>
    </row>
    <row r="15" spans="1:7" ht="18" customHeight="1" x14ac:dyDescent="0.25">
      <c r="A15" s="12" t="s">
        <v>80</v>
      </c>
      <c r="B15" s="201">
        <f>'App2. Mach Etc Req'!E15</f>
        <v>180000</v>
      </c>
      <c r="C15" s="229">
        <v>10</v>
      </c>
      <c r="D15" s="230">
        <v>0.1</v>
      </c>
      <c r="E15" s="201">
        <f t="shared" si="0"/>
        <v>18000</v>
      </c>
      <c r="F15" s="106">
        <f t="shared" si="1"/>
        <v>16200</v>
      </c>
      <c r="G15" s="104">
        <f>F15/'App9. Data for tables'!$H$80</f>
        <v>54</v>
      </c>
    </row>
    <row r="16" spans="1:7" ht="18" customHeight="1" x14ac:dyDescent="0.25">
      <c r="A16" s="12" t="s">
        <v>136</v>
      </c>
      <c r="B16" s="201">
        <f>'App2. Mach Etc Req'!E16</f>
        <v>50000</v>
      </c>
      <c r="C16" s="229">
        <v>10</v>
      </c>
      <c r="D16" s="230">
        <v>0.1</v>
      </c>
      <c r="E16" s="201">
        <f t="shared" si="0"/>
        <v>5000</v>
      </c>
      <c r="F16" s="106">
        <f t="shared" si="1"/>
        <v>4500</v>
      </c>
      <c r="G16" s="104">
        <f>F16/'App9. Data for tables'!$H$80</f>
        <v>15</v>
      </c>
    </row>
    <row r="17" spans="1:8" ht="18" customHeight="1" x14ac:dyDescent="0.25">
      <c r="A17" s="12" t="s">
        <v>137</v>
      </c>
      <c r="B17" s="202">
        <f>'App2. Mach Etc Req'!E17</f>
        <v>20000</v>
      </c>
      <c r="C17" s="231">
        <v>10</v>
      </c>
      <c r="D17" s="230">
        <v>0.1</v>
      </c>
      <c r="E17" s="202">
        <f t="shared" si="0"/>
        <v>2000</v>
      </c>
      <c r="F17" s="107">
        <f t="shared" si="1"/>
        <v>1800</v>
      </c>
      <c r="G17" s="105">
        <f>F17/'App9. Data for tables'!$H$80</f>
        <v>6</v>
      </c>
    </row>
    <row r="18" spans="1:8" ht="18" customHeight="1" x14ac:dyDescent="0.25">
      <c r="A18" s="267" t="s">
        <v>138</v>
      </c>
      <c r="B18" s="268">
        <f>SUM(B3:B17)</f>
        <v>1331800</v>
      </c>
      <c r="C18" s="269" t="s">
        <v>260</v>
      </c>
      <c r="D18" s="270" t="s">
        <v>260</v>
      </c>
      <c r="E18" s="268">
        <f>SUM(E3:E17)</f>
        <v>118180</v>
      </c>
      <c r="F18" s="271">
        <f>SUM(F3:F17)</f>
        <v>113522</v>
      </c>
      <c r="G18" s="272">
        <f>F18/'App9. Data for tables'!$H$80</f>
        <v>378.40666666666669</v>
      </c>
    </row>
    <row r="19" spans="1:8" ht="18" customHeight="1" x14ac:dyDescent="0.25">
      <c r="A19" s="9" t="s">
        <v>81</v>
      </c>
      <c r="B19" s="203"/>
      <c r="C19" s="203"/>
      <c r="D19" s="204"/>
      <c r="E19" s="204"/>
      <c r="F19" s="108"/>
      <c r="G19" s="109"/>
    </row>
    <row r="20" spans="1:8" ht="18" customHeight="1" x14ac:dyDescent="0.25">
      <c r="A20" s="9" t="s">
        <v>139</v>
      </c>
      <c r="B20" s="203"/>
      <c r="C20" s="203"/>
      <c r="D20" s="204"/>
      <c r="E20" s="204"/>
      <c r="F20" s="108"/>
      <c r="G20" s="109"/>
    </row>
    <row r="21" spans="1:8" ht="18" customHeight="1" x14ac:dyDescent="0.25">
      <c r="A21" s="9" t="s">
        <v>140</v>
      </c>
      <c r="B21" s="9"/>
      <c r="C21" s="9"/>
      <c r="D21" s="9"/>
      <c r="E21" s="9"/>
      <c r="F21" s="9"/>
      <c r="G21" s="9"/>
    </row>
    <row r="22" spans="1:8" ht="18" customHeight="1" x14ac:dyDescent="0.25">
      <c r="A22" s="9" t="s">
        <v>141</v>
      </c>
      <c r="B22" s="203"/>
      <c r="C22" s="203"/>
      <c r="D22" s="204"/>
      <c r="E22" s="204"/>
      <c r="F22" s="108"/>
      <c r="G22" s="109"/>
    </row>
    <row r="23" spans="1:8" ht="18" customHeight="1" x14ac:dyDescent="0.25">
      <c r="A23" s="9" t="s">
        <v>142</v>
      </c>
      <c r="B23" s="203"/>
      <c r="C23" s="203"/>
      <c r="D23" s="204"/>
      <c r="E23" s="204"/>
      <c r="F23" s="108"/>
      <c r="G23" s="109"/>
    </row>
    <row r="24" spans="1:8" ht="18" customHeight="1" x14ac:dyDescent="0.25">
      <c r="A24" s="193" t="s">
        <v>143</v>
      </c>
      <c r="B24" s="203"/>
      <c r="C24" s="203"/>
      <c r="D24" s="204"/>
      <c r="E24" s="204"/>
      <c r="F24" s="108"/>
      <c r="G24" s="109"/>
    </row>
    <row r="25" spans="1:8" ht="18" customHeight="1" x14ac:dyDescent="0.25">
      <c r="A25" s="9" t="s">
        <v>428</v>
      </c>
      <c r="B25" s="9"/>
      <c r="C25" s="9"/>
      <c r="D25" s="9"/>
      <c r="E25" s="9"/>
      <c r="F25" s="9"/>
      <c r="G25" s="9"/>
    </row>
    <row r="26" spans="1:8" ht="18" customHeight="1" x14ac:dyDescent="0.25">
      <c r="A26" s="101" t="s">
        <v>429</v>
      </c>
      <c r="B26" s="9"/>
      <c r="C26" s="9"/>
      <c r="D26" s="9"/>
      <c r="E26" s="9"/>
      <c r="F26" s="9"/>
      <c r="G26" s="9"/>
    </row>
    <row r="27" spans="1:8" ht="18" customHeight="1" x14ac:dyDescent="0.25">
      <c r="A27" s="9" t="s">
        <v>144</v>
      </c>
      <c r="B27" s="203"/>
      <c r="C27" s="203"/>
      <c r="D27" s="204"/>
      <c r="E27" s="204"/>
      <c r="F27" s="108"/>
      <c r="G27" s="109"/>
    </row>
    <row r="28" spans="1:8" ht="18" customHeight="1" x14ac:dyDescent="0.25">
      <c r="A28" s="193" t="s">
        <v>145</v>
      </c>
      <c r="H28" s="205"/>
    </row>
  </sheetData>
  <protectedRanges>
    <protectedRange sqref="C3:D17" name="Range"/>
  </protectedRanges>
  <mergeCells count="1">
    <mergeCell ref="A1:G1"/>
  </mergeCells>
  <pageMargins left="0.7" right="0.7" top="0.75" bottom="0.75" header="0.3" footer="0.3"/>
  <ignoredErrors>
    <ignoredError sqref="B3:B18 E3:E18" unlockedFormula="1"/>
  </ignoredErrors>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heetViews>
  <sheetFormatPr defaultColWidth="9.140625" defaultRowHeight="15" x14ac:dyDescent="0.25"/>
  <cols>
    <col min="1" max="1" width="30.42578125" style="2" bestFit="1" customWidth="1"/>
    <col min="2" max="2" width="14" style="2" customWidth="1"/>
    <col min="3" max="16384" width="9.140625" style="2"/>
  </cols>
  <sheetData>
    <row r="1" spans="1:3" ht="30" customHeight="1" x14ac:dyDescent="0.3">
      <c r="A1" s="119" t="s">
        <v>261</v>
      </c>
      <c r="B1" s="119"/>
      <c r="C1" s="5"/>
    </row>
    <row r="2" spans="1:3" s="20" customFormat="1" ht="18" customHeight="1" x14ac:dyDescent="0.25">
      <c r="A2" s="273" t="s">
        <v>262</v>
      </c>
      <c r="B2" s="274" t="s">
        <v>263</v>
      </c>
    </row>
    <row r="3" spans="1:3" ht="18" customHeight="1" x14ac:dyDescent="0.25">
      <c r="A3" s="5" t="s">
        <v>146</v>
      </c>
      <c r="B3" s="206">
        <f>'Yellow Cherry Budget'!G65</f>
        <v>16790.629064885958</v>
      </c>
      <c r="C3" s="5"/>
    </row>
    <row r="4" spans="1:3" ht="18" customHeight="1" x14ac:dyDescent="0.25">
      <c r="A4" s="5" t="s">
        <v>147</v>
      </c>
      <c r="B4" s="232">
        <f>25-5</f>
        <v>20</v>
      </c>
      <c r="C4" s="207"/>
    </row>
    <row r="5" spans="1:3" ht="18" customHeight="1" x14ac:dyDescent="0.25">
      <c r="A5" s="5" t="s">
        <v>99</v>
      </c>
      <c r="B5" s="208">
        <f>'App9. Data for tables'!$H$74</f>
        <v>0.05</v>
      </c>
      <c r="C5" s="5"/>
    </row>
    <row r="6" spans="1:3" ht="18" customHeight="1" x14ac:dyDescent="0.25">
      <c r="A6" s="5"/>
      <c r="B6" s="209"/>
      <c r="C6" s="5"/>
    </row>
    <row r="7" spans="1:3" ht="18" customHeight="1" x14ac:dyDescent="0.25">
      <c r="A7" s="5" t="s">
        <v>148</v>
      </c>
      <c r="B7" s="275">
        <f>IF(B4=0," ",PMT(B5,B4,B3))</f>
        <v>-1347.3235167256671</v>
      </c>
      <c r="C7" s="5"/>
    </row>
    <row r="8" spans="1:3" ht="18" customHeight="1" x14ac:dyDescent="0.25">
      <c r="A8" s="181" t="s">
        <v>149</v>
      </c>
      <c r="B8" s="5"/>
      <c r="C8" s="5"/>
    </row>
  </sheetData>
  <protectedRanges>
    <protectedRange sqref="B4:B5" name="Range1"/>
  </protectedRanges>
  <phoneticPr fontId="17" type="noConversion"/>
  <pageMargins left="0.7" right="0.7" top="0.75" bottom="0.75" header="0.3" footer="0.3"/>
  <ignoredErrors>
    <ignoredError sqref="B4:B5" unlockedFormula="1"/>
  </ignoredErrors>
  <tableParts count="1">
    <tablePart r:id="rId1"/>
  </tablePart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5"/>
  <sheetViews>
    <sheetView workbookViewId="0"/>
  </sheetViews>
  <sheetFormatPr defaultColWidth="8.7109375" defaultRowHeight="15" x14ac:dyDescent="0.25"/>
  <cols>
    <col min="1" max="1" width="23.42578125" style="39" customWidth="1"/>
    <col min="2" max="2" width="45.7109375" style="39" customWidth="1"/>
    <col min="3" max="3" width="11.7109375" style="51" customWidth="1"/>
    <col min="4" max="4" width="9.7109375" style="51" customWidth="1"/>
    <col min="5" max="6" width="10.28515625" style="51" customWidth="1"/>
    <col min="7" max="7" width="12.140625" style="51" customWidth="1"/>
    <col min="8" max="8" width="15.28515625" style="51" customWidth="1"/>
    <col min="9" max="9" width="56.5703125" style="39" customWidth="1"/>
    <col min="10" max="10" width="15.28515625" customWidth="1"/>
    <col min="11" max="11" width="16.42578125" style="39" customWidth="1"/>
    <col min="13" max="16384" width="8.7109375" style="39"/>
  </cols>
  <sheetData>
    <row r="1" spans="1:12" s="146" customFormat="1" ht="30" customHeight="1" x14ac:dyDescent="0.3">
      <c r="A1" s="276" t="s">
        <v>461</v>
      </c>
      <c r="B1" s="276"/>
      <c r="C1" s="277"/>
      <c r="D1" s="277"/>
      <c r="E1" s="277"/>
      <c r="F1" s="277"/>
      <c r="G1" s="277"/>
      <c r="H1" s="277"/>
      <c r="I1" s="278"/>
      <c r="J1"/>
      <c r="K1" s="145"/>
      <c r="L1"/>
    </row>
    <row r="2" spans="1:12" ht="30" x14ac:dyDescent="0.25">
      <c r="A2" s="49" t="s">
        <v>220</v>
      </c>
      <c r="B2" s="71" t="s">
        <v>59</v>
      </c>
      <c r="C2" s="72" t="s">
        <v>111</v>
      </c>
      <c r="D2" s="72" t="s">
        <v>16</v>
      </c>
      <c r="E2" s="72" t="s">
        <v>17</v>
      </c>
      <c r="F2" s="72" t="s">
        <v>18</v>
      </c>
      <c r="G2" s="72" t="s">
        <v>19</v>
      </c>
      <c r="H2" s="73" t="s">
        <v>150</v>
      </c>
      <c r="I2" s="40" t="s">
        <v>151</v>
      </c>
      <c r="K2" s="41"/>
    </row>
    <row r="3" spans="1:12" ht="18" customHeight="1" x14ac:dyDescent="0.25">
      <c r="A3" s="42" t="s">
        <v>437</v>
      </c>
      <c r="B3" s="43" t="s">
        <v>272</v>
      </c>
      <c r="C3" s="233">
        <v>0</v>
      </c>
      <c r="D3" s="233">
        <v>0</v>
      </c>
      <c r="E3" s="234">
        <v>4.03</v>
      </c>
      <c r="F3" s="234">
        <f>$E3</f>
        <v>4.03</v>
      </c>
      <c r="G3" s="234">
        <f t="shared" ref="G3:H6" si="0">$E3</f>
        <v>4.03</v>
      </c>
      <c r="H3" s="234">
        <f t="shared" si="0"/>
        <v>4.03</v>
      </c>
      <c r="I3" s="44" t="s">
        <v>273</v>
      </c>
      <c r="K3" s="41"/>
    </row>
    <row r="4" spans="1:12" ht="18" customHeight="1" x14ac:dyDescent="0.25">
      <c r="A4" s="42" t="s">
        <v>437</v>
      </c>
      <c r="B4" s="43" t="s">
        <v>276</v>
      </c>
      <c r="C4" s="233">
        <v>0</v>
      </c>
      <c r="D4" s="233">
        <v>0</v>
      </c>
      <c r="E4" s="234">
        <v>3.73</v>
      </c>
      <c r="F4" s="234">
        <f>$E4</f>
        <v>3.73</v>
      </c>
      <c r="G4" s="234">
        <f t="shared" si="0"/>
        <v>3.73</v>
      </c>
      <c r="H4" s="234">
        <f t="shared" si="0"/>
        <v>3.73</v>
      </c>
      <c r="I4" s="46" t="s">
        <v>274</v>
      </c>
    </row>
    <row r="5" spans="1:12" ht="18" customHeight="1" x14ac:dyDescent="0.25">
      <c r="A5" s="42" t="s">
        <v>437</v>
      </c>
      <c r="B5" s="43" t="s">
        <v>277</v>
      </c>
      <c r="C5" s="233">
        <v>0</v>
      </c>
      <c r="D5" s="233">
        <v>0</v>
      </c>
      <c r="E5" s="234">
        <v>0</v>
      </c>
      <c r="F5" s="234">
        <f>$E5</f>
        <v>0</v>
      </c>
      <c r="G5" s="234">
        <f t="shared" si="0"/>
        <v>0</v>
      </c>
      <c r="H5" s="234">
        <f t="shared" si="0"/>
        <v>0</v>
      </c>
      <c r="I5" s="46" t="s">
        <v>275</v>
      </c>
    </row>
    <row r="6" spans="1:12" ht="18" customHeight="1" x14ac:dyDescent="0.25">
      <c r="A6" s="42" t="s">
        <v>437</v>
      </c>
      <c r="B6" s="43" t="s">
        <v>278</v>
      </c>
      <c r="C6" s="233">
        <v>0</v>
      </c>
      <c r="D6" s="233">
        <v>0</v>
      </c>
      <c r="E6" s="234">
        <v>0.04</v>
      </c>
      <c r="F6" s="234">
        <f>$E6</f>
        <v>0.04</v>
      </c>
      <c r="G6" s="234">
        <f t="shared" si="0"/>
        <v>0.04</v>
      </c>
      <c r="H6" s="234">
        <f t="shared" si="0"/>
        <v>0.04</v>
      </c>
      <c r="I6" s="46"/>
    </row>
    <row r="7" spans="1:12" ht="18" customHeight="1" x14ac:dyDescent="0.25">
      <c r="A7" s="45" t="s">
        <v>438</v>
      </c>
      <c r="B7" s="47" t="s">
        <v>152</v>
      </c>
      <c r="C7" s="233">
        <v>0</v>
      </c>
      <c r="D7" s="233">
        <v>0</v>
      </c>
      <c r="E7" s="233">
        <v>3000</v>
      </c>
      <c r="F7" s="235">
        <v>8000</v>
      </c>
      <c r="G7" s="235">
        <v>16000</v>
      </c>
      <c r="H7" s="235">
        <v>18000</v>
      </c>
      <c r="I7" s="46" t="s">
        <v>435</v>
      </c>
    </row>
    <row r="8" spans="1:12" ht="18" customHeight="1" x14ac:dyDescent="0.25">
      <c r="A8" s="45" t="s">
        <v>438</v>
      </c>
      <c r="B8" s="40" t="s">
        <v>410</v>
      </c>
      <c r="C8" s="233">
        <v>0</v>
      </c>
      <c r="D8" s="233">
        <v>0</v>
      </c>
      <c r="E8" s="236">
        <v>0.5</v>
      </c>
      <c r="F8" s="237">
        <f>$E8</f>
        <v>0.5</v>
      </c>
      <c r="G8" s="237">
        <f t="shared" ref="G8:H8" si="1">$E8</f>
        <v>0.5</v>
      </c>
      <c r="H8" s="237">
        <f t="shared" si="1"/>
        <v>0.5</v>
      </c>
      <c r="I8" s="46"/>
      <c r="K8" s="41"/>
    </row>
    <row r="9" spans="1:12" ht="18" customHeight="1" x14ac:dyDescent="0.25">
      <c r="A9" s="45" t="s">
        <v>438</v>
      </c>
      <c r="B9" s="40" t="s">
        <v>411</v>
      </c>
      <c r="C9" s="233">
        <v>0</v>
      </c>
      <c r="D9" s="233">
        <v>0</v>
      </c>
      <c r="E9" s="236">
        <v>0.3</v>
      </c>
      <c r="F9" s="237">
        <f t="shared" ref="F9:H11" si="2">$E9</f>
        <v>0.3</v>
      </c>
      <c r="G9" s="237">
        <f t="shared" si="2"/>
        <v>0.3</v>
      </c>
      <c r="H9" s="237">
        <f t="shared" si="2"/>
        <v>0.3</v>
      </c>
      <c r="I9" s="46"/>
      <c r="K9" s="41"/>
    </row>
    <row r="10" spans="1:12" ht="18" customHeight="1" x14ac:dyDescent="0.25">
      <c r="A10" s="45" t="s">
        <v>438</v>
      </c>
      <c r="B10" s="40" t="s">
        <v>412</v>
      </c>
      <c r="C10" s="233">
        <v>0</v>
      </c>
      <c r="D10" s="233">
        <v>0</v>
      </c>
      <c r="E10" s="236">
        <v>0</v>
      </c>
      <c r="F10" s="237">
        <f t="shared" si="2"/>
        <v>0</v>
      </c>
      <c r="G10" s="237">
        <f t="shared" si="2"/>
        <v>0</v>
      </c>
      <c r="H10" s="237">
        <f t="shared" si="2"/>
        <v>0</v>
      </c>
      <c r="I10" s="46"/>
      <c r="K10" s="41"/>
    </row>
    <row r="11" spans="1:12" ht="18" customHeight="1" x14ac:dyDescent="0.25">
      <c r="A11" s="53" t="s">
        <v>438</v>
      </c>
      <c r="B11" s="54" t="s">
        <v>413</v>
      </c>
      <c r="C11" s="233">
        <v>0</v>
      </c>
      <c r="D11" s="233">
        <v>0</v>
      </c>
      <c r="E11" s="236">
        <v>0.2</v>
      </c>
      <c r="F11" s="238">
        <f t="shared" si="2"/>
        <v>0.2</v>
      </c>
      <c r="G11" s="238">
        <f t="shared" si="2"/>
        <v>0.2</v>
      </c>
      <c r="H11" s="238">
        <f t="shared" si="2"/>
        <v>0.2</v>
      </c>
      <c r="I11" s="48"/>
    </row>
    <row r="12" spans="1:12" ht="54" customHeight="1" x14ac:dyDescent="0.25">
      <c r="A12" s="49" t="s">
        <v>92</v>
      </c>
      <c r="B12" s="71" t="s">
        <v>153</v>
      </c>
      <c r="C12" s="239">
        <v>18000</v>
      </c>
      <c r="D12" s="240">
        <v>0</v>
      </c>
      <c r="E12" s="240">
        <v>0</v>
      </c>
      <c r="F12" s="240">
        <v>0</v>
      </c>
      <c r="G12" s="240">
        <v>0</v>
      </c>
      <c r="H12" s="240">
        <v>0</v>
      </c>
      <c r="I12" s="74" t="s">
        <v>481</v>
      </c>
    </row>
    <row r="13" spans="1:12" ht="18" customHeight="1" x14ac:dyDescent="0.25">
      <c r="A13" s="56" t="s">
        <v>439</v>
      </c>
      <c r="B13" s="60" t="s">
        <v>159</v>
      </c>
      <c r="C13" s="241">
        <v>1200</v>
      </c>
      <c r="D13" s="242">
        <v>0</v>
      </c>
      <c r="E13" s="242">
        <v>0</v>
      </c>
      <c r="F13" s="242">
        <v>0</v>
      </c>
      <c r="G13" s="242">
        <v>0</v>
      </c>
      <c r="H13" s="242">
        <v>0</v>
      </c>
      <c r="I13" s="60" t="s">
        <v>160</v>
      </c>
      <c r="J13" s="64"/>
      <c r="L13" s="64"/>
    </row>
    <row r="14" spans="1:12" ht="18" customHeight="1" x14ac:dyDescent="0.25">
      <c r="A14" s="50" t="s">
        <v>439</v>
      </c>
      <c r="B14" s="40" t="s">
        <v>154</v>
      </c>
      <c r="C14" s="234">
        <v>1000</v>
      </c>
      <c r="D14" s="233">
        <v>0</v>
      </c>
      <c r="E14" s="233">
        <v>0</v>
      </c>
      <c r="F14" s="233">
        <v>0</v>
      </c>
      <c r="G14" s="233">
        <v>0</v>
      </c>
      <c r="H14" s="233">
        <v>0</v>
      </c>
      <c r="I14" s="40"/>
      <c r="J14" s="64"/>
      <c r="L14" s="64"/>
    </row>
    <row r="15" spans="1:12" ht="18" customHeight="1" x14ac:dyDescent="0.25">
      <c r="A15" s="50" t="s">
        <v>439</v>
      </c>
      <c r="B15" s="40" t="s">
        <v>155</v>
      </c>
      <c r="C15" s="234">
        <v>300</v>
      </c>
      <c r="D15" s="233">
        <v>0</v>
      </c>
      <c r="E15" s="233">
        <v>0</v>
      </c>
      <c r="F15" s="233">
        <v>0</v>
      </c>
      <c r="G15" s="233">
        <v>0</v>
      </c>
      <c r="H15" s="233">
        <v>0</v>
      </c>
      <c r="I15" s="40" t="s">
        <v>280</v>
      </c>
      <c r="J15" s="64"/>
      <c r="L15" s="64"/>
    </row>
    <row r="16" spans="1:12" ht="18" customHeight="1" x14ac:dyDescent="0.25">
      <c r="A16" s="50" t="s">
        <v>439</v>
      </c>
      <c r="B16" s="40" t="s">
        <v>281</v>
      </c>
      <c r="C16" s="234">
        <v>300</v>
      </c>
      <c r="D16" s="233">
        <v>0</v>
      </c>
      <c r="E16" s="233">
        <v>0</v>
      </c>
      <c r="F16" s="233">
        <v>0</v>
      </c>
      <c r="G16" s="233">
        <v>0</v>
      </c>
      <c r="H16" s="233">
        <v>0</v>
      </c>
      <c r="I16" s="40" t="s">
        <v>156</v>
      </c>
      <c r="J16" s="64"/>
      <c r="L16" s="64"/>
    </row>
    <row r="17" spans="1:12" ht="18" customHeight="1" x14ac:dyDescent="0.25">
      <c r="A17" s="50" t="s">
        <v>439</v>
      </c>
      <c r="B17" s="40" t="s">
        <v>157</v>
      </c>
      <c r="C17" s="243">
        <v>0.5</v>
      </c>
      <c r="D17" s="233">
        <v>0</v>
      </c>
      <c r="E17" s="233">
        <v>0</v>
      </c>
      <c r="F17" s="233">
        <v>0</v>
      </c>
      <c r="G17" s="233">
        <v>0</v>
      </c>
      <c r="H17" s="233">
        <v>0</v>
      </c>
      <c r="I17" s="40"/>
      <c r="J17" s="64"/>
      <c r="L17" s="64"/>
    </row>
    <row r="18" spans="1:12" ht="18" customHeight="1" x14ac:dyDescent="0.25">
      <c r="A18" s="53" t="s">
        <v>439</v>
      </c>
      <c r="B18" s="54" t="s">
        <v>158</v>
      </c>
      <c r="C18" s="244">
        <f>$C82</f>
        <v>22.63</v>
      </c>
      <c r="D18" s="245">
        <v>0</v>
      </c>
      <c r="E18" s="245">
        <v>0</v>
      </c>
      <c r="F18" s="245">
        <v>0</v>
      </c>
      <c r="G18" s="245">
        <v>0</v>
      </c>
      <c r="H18" s="245">
        <v>0</v>
      </c>
      <c r="I18" s="54"/>
      <c r="J18" s="64"/>
      <c r="L18" s="64"/>
    </row>
    <row r="19" spans="1:12" ht="18" customHeight="1" x14ac:dyDescent="0.25">
      <c r="A19" s="50" t="s">
        <v>161</v>
      </c>
      <c r="B19" s="40" t="s">
        <v>162</v>
      </c>
      <c r="C19" s="235">
        <f>$C$79</f>
        <v>519</v>
      </c>
      <c r="D19" s="233">
        <v>0</v>
      </c>
      <c r="E19" s="233">
        <v>0</v>
      </c>
      <c r="F19" s="233">
        <v>0</v>
      </c>
      <c r="G19" s="233">
        <v>0</v>
      </c>
      <c r="H19" s="233">
        <v>0</v>
      </c>
      <c r="I19" s="40"/>
      <c r="J19" s="64"/>
      <c r="L19" s="64"/>
    </row>
    <row r="20" spans="1:12" ht="18" customHeight="1" x14ac:dyDescent="0.25">
      <c r="A20" s="50" t="s">
        <v>161</v>
      </c>
      <c r="B20" s="40" t="s">
        <v>163</v>
      </c>
      <c r="C20" s="234">
        <v>13.5</v>
      </c>
      <c r="D20" s="233">
        <v>0</v>
      </c>
      <c r="E20" s="233">
        <v>0</v>
      </c>
      <c r="F20" s="233">
        <v>0</v>
      </c>
      <c r="G20" s="233">
        <v>0</v>
      </c>
      <c r="H20" s="233">
        <v>0</v>
      </c>
      <c r="I20" s="55"/>
      <c r="J20" s="64"/>
      <c r="L20" s="64"/>
    </row>
    <row r="21" spans="1:12" ht="18" customHeight="1" x14ac:dyDescent="0.25">
      <c r="A21" s="53" t="s">
        <v>161</v>
      </c>
      <c r="B21" s="54" t="s">
        <v>283</v>
      </c>
      <c r="C21" s="244">
        <v>500</v>
      </c>
      <c r="D21" s="245">
        <v>0</v>
      </c>
      <c r="E21" s="245">
        <v>0</v>
      </c>
      <c r="F21" s="245">
        <v>0</v>
      </c>
      <c r="G21" s="245">
        <v>0</v>
      </c>
      <c r="H21" s="245">
        <v>0</v>
      </c>
      <c r="I21" s="54"/>
      <c r="J21" s="64"/>
      <c r="L21" s="64"/>
    </row>
    <row r="22" spans="1:12" ht="18" customHeight="1" x14ac:dyDescent="0.25">
      <c r="A22" s="49" t="s">
        <v>38</v>
      </c>
      <c r="B22" s="57" t="s">
        <v>165</v>
      </c>
      <c r="C22" s="239">
        <v>3500</v>
      </c>
      <c r="D22" s="245">
        <v>0</v>
      </c>
      <c r="E22" s="245">
        <v>0</v>
      </c>
      <c r="F22" s="245">
        <v>0</v>
      </c>
      <c r="G22" s="245">
        <v>0</v>
      </c>
      <c r="H22" s="245">
        <v>0</v>
      </c>
      <c r="I22" s="58"/>
      <c r="J22" s="64"/>
      <c r="K22" s="41"/>
      <c r="L22" s="64"/>
    </row>
    <row r="23" spans="1:12" ht="18" customHeight="1" x14ac:dyDescent="0.25">
      <c r="A23" s="17" t="s">
        <v>381</v>
      </c>
      <c r="B23" s="63" t="s">
        <v>385</v>
      </c>
      <c r="C23" s="233">
        <v>0</v>
      </c>
      <c r="D23" s="233">
        <v>0</v>
      </c>
      <c r="E23" s="234">
        <v>3500</v>
      </c>
      <c r="F23" s="233">
        <v>0</v>
      </c>
      <c r="G23" s="233">
        <v>0</v>
      </c>
      <c r="H23" s="233">
        <v>0</v>
      </c>
      <c r="I23" s="217"/>
      <c r="J23" s="64"/>
      <c r="K23" s="41"/>
      <c r="L23" s="64"/>
    </row>
    <row r="24" spans="1:12" ht="18" customHeight="1" x14ac:dyDescent="0.25">
      <c r="A24" s="53" t="s">
        <v>381</v>
      </c>
      <c r="B24" s="65" t="s">
        <v>315</v>
      </c>
      <c r="C24" s="245">
        <v>0</v>
      </c>
      <c r="D24" s="245">
        <v>0</v>
      </c>
      <c r="E24" s="244">
        <v>300</v>
      </c>
      <c r="F24" s="244">
        <v>300</v>
      </c>
      <c r="G24" s="244">
        <v>300</v>
      </c>
      <c r="H24" s="244">
        <v>300</v>
      </c>
      <c r="I24" s="218"/>
      <c r="J24" s="64"/>
      <c r="K24" s="41"/>
      <c r="L24" s="64"/>
    </row>
    <row r="25" spans="1:12" ht="18" customHeight="1" x14ac:dyDescent="0.25">
      <c r="A25" s="56" t="s">
        <v>166</v>
      </c>
      <c r="B25" s="40" t="s">
        <v>314</v>
      </c>
      <c r="C25" s="233">
        <v>0</v>
      </c>
      <c r="D25" s="233">
        <v>0</v>
      </c>
      <c r="E25" s="233">
        <v>0</v>
      </c>
      <c r="F25" s="233">
        <v>0</v>
      </c>
      <c r="G25" s="233">
        <v>0</v>
      </c>
      <c r="H25" s="233">
        <v>0</v>
      </c>
      <c r="I25" s="117"/>
      <c r="J25" s="64"/>
      <c r="K25" s="41"/>
      <c r="L25" s="64"/>
    </row>
    <row r="26" spans="1:12" ht="18" customHeight="1" x14ac:dyDescent="0.25">
      <c r="A26" s="53" t="s">
        <v>166</v>
      </c>
      <c r="B26" s="40" t="s">
        <v>315</v>
      </c>
      <c r="C26" s="233">
        <v>0</v>
      </c>
      <c r="D26" s="245">
        <v>0</v>
      </c>
      <c r="E26" s="245">
        <v>0</v>
      </c>
      <c r="F26" s="245">
        <v>0</v>
      </c>
      <c r="G26" s="245">
        <v>0</v>
      </c>
      <c r="H26" s="245">
        <v>0</v>
      </c>
      <c r="I26" s="118"/>
      <c r="J26" s="64"/>
      <c r="K26" s="41"/>
      <c r="L26" s="64"/>
    </row>
    <row r="27" spans="1:12" ht="18" customHeight="1" x14ac:dyDescent="0.25">
      <c r="A27" s="56" t="s">
        <v>440</v>
      </c>
      <c r="B27" s="60" t="s">
        <v>167</v>
      </c>
      <c r="C27" s="241">
        <v>2700</v>
      </c>
      <c r="D27" s="233">
        <v>0</v>
      </c>
      <c r="E27" s="233">
        <v>0</v>
      </c>
      <c r="F27" s="233">
        <v>0</v>
      </c>
      <c r="G27" s="233">
        <v>0</v>
      </c>
      <c r="H27" s="233">
        <v>0</v>
      </c>
      <c r="I27" s="61"/>
      <c r="J27" s="64"/>
      <c r="K27" s="61"/>
      <c r="L27" s="64"/>
    </row>
    <row r="28" spans="1:12" ht="18" customHeight="1" x14ac:dyDescent="0.25">
      <c r="A28" s="50" t="s">
        <v>440</v>
      </c>
      <c r="B28" s="40" t="s">
        <v>284</v>
      </c>
      <c r="C28" s="246">
        <v>50</v>
      </c>
      <c r="D28" s="233">
        <v>0</v>
      </c>
      <c r="E28" s="233">
        <v>0</v>
      </c>
      <c r="F28" s="233">
        <v>0</v>
      </c>
      <c r="G28" s="233">
        <v>0</v>
      </c>
      <c r="H28" s="233">
        <v>0</v>
      </c>
      <c r="I28" s="61"/>
      <c r="J28" s="64"/>
      <c r="K28" s="61"/>
      <c r="L28" s="64"/>
    </row>
    <row r="29" spans="1:12" ht="18" customHeight="1" x14ac:dyDescent="0.25">
      <c r="A29" s="53" t="s">
        <v>440</v>
      </c>
      <c r="B29" s="54" t="s">
        <v>285</v>
      </c>
      <c r="C29" s="244">
        <f>$C82</f>
        <v>22.63</v>
      </c>
      <c r="D29" s="245">
        <v>0</v>
      </c>
      <c r="E29" s="245">
        <v>0</v>
      </c>
      <c r="F29" s="245">
        <v>0</v>
      </c>
      <c r="G29" s="245">
        <v>0</v>
      </c>
      <c r="H29" s="245">
        <v>0</v>
      </c>
      <c r="I29" s="62"/>
      <c r="J29" s="64"/>
      <c r="K29" s="61"/>
      <c r="L29" s="64"/>
    </row>
    <row r="30" spans="1:12" ht="18" customHeight="1" x14ac:dyDescent="0.25">
      <c r="A30" s="40" t="s">
        <v>36</v>
      </c>
      <c r="B30" s="63" t="s">
        <v>168</v>
      </c>
      <c r="C30" s="233">
        <v>0</v>
      </c>
      <c r="D30" s="233">
        <v>0</v>
      </c>
      <c r="E30" s="233">
        <v>0</v>
      </c>
      <c r="F30" s="233">
        <v>0</v>
      </c>
      <c r="G30" s="233">
        <v>0</v>
      </c>
      <c r="H30" s="233">
        <v>0</v>
      </c>
      <c r="I30" s="61" t="s">
        <v>476</v>
      </c>
      <c r="J30" s="64"/>
      <c r="K30" s="41"/>
      <c r="L30" s="64"/>
    </row>
    <row r="31" spans="1:12" ht="18" customHeight="1" x14ac:dyDescent="0.25">
      <c r="A31" s="54" t="s">
        <v>36</v>
      </c>
      <c r="B31" s="65" t="s">
        <v>169</v>
      </c>
      <c r="C31" s="245">
        <v>0</v>
      </c>
      <c r="D31" s="245">
        <v>0</v>
      </c>
      <c r="E31" s="245">
        <v>0</v>
      </c>
      <c r="F31" s="245">
        <v>0</v>
      </c>
      <c r="G31" s="245">
        <v>0</v>
      </c>
      <c r="H31" s="245">
        <v>0</v>
      </c>
      <c r="I31" s="62"/>
      <c r="J31" s="64"/>
      <c r="K31" s="41"/>
      <c r="L31" s="64"/>
    </row>
    <row r="32" spans="1:12" ht="18" customHeight="1" x14ac:dyDescent="0.25">
      <c r="A32" s="71" t="s">
        <v>37</v>
      </c>
      <c r="B32" s="57" t="s">
        <v>170</v>
      </c>
      <c r="C32" s="245">
        <v>0</v>
      </c>
      <c r="D32" s="245">
        <v>0</v>
      </c>
      <c r="E32" s="245">
        <v>0</v>
      </c>
      <c r="F32" s="245">
        <v>0</v>
      </c>
      <c r="G32" s="245">
        <v>0</v>
      </c>
      <c r="H32" s="245">
        <v>0</v>
      </c>
      <c r="I32" s="62" t="s">
        <v>475</v>
      </c>
      <c r="J32" s="64"/>
      <c r="K32" s="61"/>
      <c r="L32" s="64"/>
    </row>
    <row r="33" spans="1:12" ht="18" customHeight="1" x14ac:dyDescent="0.25">
      <c r="A33" s="56" t="s">
        <v>441</v>
      </c>
      <c r="B33" s="63" t="s">
        <v>171</v>
      </c>
      <c r="C33" s="247">
        <v>5</v>
      </c>
      <c r="D33" s="247">
        <v>5</v>
      </c>
      <c r="E33" s="247">
        <v>8</v>
      </c>
      <c r="F33" s="247">
        <v>32</v>
      </c>
      <c r="G33" s="247">
        <v>40</v>
      </c>
      <c r="H33" s="247">
        <v>40</v>
      </c>
      <c r="I33" s="40"/>
      <c r="J33" s="64"/>
      <c r="K33" s="64"/>
      <c r="L33" s="64"/>
    </row>
    <row r="34" spans="1:12" ht="18" customHeight="1" x14ac:dyDescent="0.25">
      <c r="A34" s="50" t="s">
        <v>441</v>
      </c>
      <c r="B34" s="65" t="s">
        <v>164</v>
      </c>
      <c r="C34" s="244">
        <f t="shared" ref="C34:H34" si="3">C$81</f>
        <v>21.63</v>
      </c>
      <c r="D34" s="244">
        <f t="shared" si="3"/>
        <v>21.63</v>
      </c>
      <c r="E34" s="244">
        <f t="shared" si="3"/>
        <v>21.63</v>
      </c>
      <c r="F34" s="244">
        <f t="shared" si="3"/>
        <v>21.63</v>
      </c>
      <c r="G34" s="244">
        <f t="shared" si="3"/>
        <v>21.63</v>
      </c>
      <c r="H34" s="244">
        <f t="shared" si="3"/>
        <v>21.63</v>
      </c>
      <c r="I34" s="62"/>
      <c r="J34" s="64"/>
      <c r="K34" s="64"/>
      <c r="L34" s="64"/>
    </row>
    <row r="35" spans="1:12" ht="18" customHeight="1" x14ac:dyDescent="0.25">
      <c r="A35" s="50" t="s">
        <v>441</v>
      </c>
      <c r="B35" s="40" t="s">
        <v>172</v>
      </c>
      <c r="C35" s="246">
        <v>10</v>
      </c>
      <c r="D35" s="246">
        <v>20</v>
      </c>
      <c r="E35" s="246">
        <v>25</v>
      </c>
      <c r="F35" s="246">
        <v>15</v>
      </c>
      <c r="G35" s="246">
        <v>5</v>
      </c>
      <c r="H35" s="246">
        <v>5</v>
      </c>
      <c r="I35" s="40"/>
      <c r="J35" s="64"/>
      <c r="K35" s="64"/>
      <c r="L35" s="64"/>
    </row>
    <row r="36" spans="1:12" ht="18" customHeight="1" x14ac:dyDescent="0.25">
      <c r="A36" s="53" t="s">
        <v>441</v>
      </c>
      <c r="B36" s="54" t="s">
        <v>164</v>
      </c>
      <c r="C36" s="244">
        <f t="shared" ref="C36:H36" si="4">C$81</f>
        <v>21.63</v>
      </c>
      <c r="D36" s="244">
        <f t="shared" si="4"/>
        <v>21.63</v>
      </c>
      <c r="E36" s="244">
        <f t="shared" si="4"/>
        <v>21.63</v>
      </c>
      <c r="F36" s="244">
        <f t="shared" si="4"/>
        <v>21.63</v>
      </c>
      <c r="G36" s="244">
        <f t="shared" si="4"/>
        <v>21.63</v>
      </c>
      <c r="H36" s="244">
        <f t="shared" si="4"/>
        <v>21.63</v>
      </c>
      <c r="I36" s="62"/>
      <c r="J36" s="64"/>
      <c r="K36" s="64"/>
      <c r="L36" s="64"/>
    </row>
    <row r="37" spans="1:12" ht="18" customHeight="1" x14ac:dyDescent="0.25">
      <c r="A37" s="50" t="s">
        <v>442</v>
      </c>
      <c r="B37" s="63" t="s">
        <v>436</v>
      </c>
      <c r="C37" s="233">
        <v>0</v>
      </c>
      <c r="D37" s="233">
        <v>0</v>
      </c>
      <c r="E37" s="246">
        <v>8</v>
      </c>
      <c r="F37" s="246">
        <v>10</v>
      </c>
      <c r="G37" s="246">
        <v>13</v>
      </c>
      <c r="H37" s="246">
        <v>13</v>
      </c>
      <c r="I37" s="61"/>
      <c r="J37" s="64"/>
      <c r="K37" s="64"/>
      <c r="L37" s="64"/>
    </row>
    <row r="38" spans="1:12" ht="18" customHeight="1" x14ac:dyDescent="0.25">
      <c r="A38" s="53" t="s">
        <v>442</v>
      </c>
      <c r="B38" s="65" t="s">
        <v>164</v>
      </c>
      <c r="C38" s="245">
        <v>0</v>
      </c>
      <c r="D38" s="245">
        <v>0</v>
      </c>
      <c r="E38" s="244">
        <f>E$81</f>
        <v>21.63</v>
      </c>
      <c r="F38" s="244">
        <f t="shared" ref="F38:H38" si="5">F$81</f>
        <v>21.63</v>
      </c>
      <c r="G38" s="244">
        <f t="shared" si="5"/>
        <v>21.63</v>
      </c>
      <c r="H38" s="244">
        <f t="shared" si="5"/>
        <v>21.63</v>
      </c>
      <c r="I38" s="62"/>
      <c r="J38" s="64"/>
      <c r="K38" s="64"/>
      <c r="L38" s="64"/>
    </row>
    <row r="39" spans="1:12" ht="18" customHeight="1" x14ac:dyDescent="0.25">
      <c r="A39" s="50" t="s">
        <v>173</v>
      </c>
      <c r="B39" s="40" t="s">
        <v>286</v>
      </c>
      <c r="C39" s="233">
        <v>0</v>
      </c>
      <c r="D39" s="233">
        <v>0</v>
      </c>
      <c r="E39" s="233">
        <v>0</v>
      </c>
      <c r="F39" s="233">
        <v>0</v>
      </c>
      <c r="G39" s="233">
        <v>0</v>
      </c>
      <c r="H39" s="233">
        <v>0</v>
      </c>
      <c r="I39" s="55"/>
      <c r="J39" s="64"/>
      <c r="L39" s="64"/>
    </row>
    <row r="40" spans="1:12" ht="18" customHeight="1" x14ac:dyDescent="0.25">
      <c r="A40" s="50" t="s">
        <v>173</v>
      </c>
      <c r="B40" s="65" t="s">
        <v>164</v>
      </c>
      <c r="C40" s="244">
        <f t="shared" ref="C40:H40" si="6">C$81</f>
        <v>21.63</v>
      </c>
      <c r="D40" s="244">
        <f t="shared" si="6"/>
        <v>21.63</v>
      </c>
      <c r="E40" s="244">
        <f t="shared" si="6"/>
        <v>21.63</v>
      </c>
      <c r="F40" s="244">
        <f t="shared" si="6"/>
        <v>21.63</v>
      </c>
      <c r="G40" s="244">
        <f t="shared" si="6"/>
        <v>21.63</v>
      </c>
      <c r="H40" s="244">
        <f t="shared" si="6"/>
        <v>21.63</v>
      </c>
      <c r="I40" s="62"/>
      <c r="J40" s="64"/>
      <c r="K40" s="41"/>
      <c r="L40" s="64"/>
    </row>
    <row r="41" spans="1:12" ht="18" customHeight="1" x14ac:dyDescent="0.25">
      <c r="A41" s="50" t="s">
        <v>173</v>
      </c>
      <c r="B41" s="40" t="s">
        <v>287</v>
      </c>
      <c r="C41" s="233">
        <v>0</v>
      </c>
      <c r="D41" s="233">
        <v>0</v>
      </c>
      <c r="E41" s="233">
        <v>0</v>
      </c>
      <c r="F41" s="233">
        <v>0</v>
      </c>
      <c r="G41" s="233">
        <v>0</v>
      </c>
      <c r="H41" s="233">
        <v>0</v>
      </c>
      <c r="I41" s="61"/>
      <c r="J41" s="52"/>
      <c r="K41" s="41"/>
      <c r="L41" s="64"/>
    </row>
    <row r="42" spans="1:12" ht="18" customHeight="1" x14ac:dyDescent="0.25">
      <c r="A42" s="53" t="s">
        <v>173</v>
      </c>
      <c r="B42" s="40" t="s">
        <v>164</v>
      </c>
      <c r="C42" s="244">
        <f t="shared" ref="C42:H42" si="7">C$81</f>
        <v>21.63</v>
      </c>
      <c r="D42" s="244">
        <f t="shared" si="7"/>
        <v>21.63</v>
      </c>
      <c r="E42" s="244">
        <f t="shared" si="7"/>
        <v>21.63</v>
      </c>
      <c r="F42" s="244">
        <f t="shared" si="7"/>
        <v>21.63</v>
      </c>
      <c r="G42" s="244">
        <f t="shared" si="7"/>
        <v>21.63</v>
      </c>
      <c r="H42" s="244">
        <f t="shared" si="7"/>
        <v>21.63</v>
      </c>
      <c r="I42" s="62"/>
      <c r="J42" s="64"/>
      <c r="K42" s="41"/>
      <c r="L42" s="64"/>
    </row>
    <row r="43" spans="1:12" ht="36" customHeight="1" x14ac:dyDescent="0.25">
      <c r="A43" s="56" t="s">
        <v>174</v>
      </c>
      <c r="B43" s="60" t="s">
        <v>175</v>
      </c>
      <c r="C43" s="234">
        <v>550</v>
      </c>
      <c r="D43" s="234">
        <v>1000</v>
      </c>
      <c r="E43" s="234">
        <v>1520</v>
      </c>
      <c r="F43" s="234">
        <v>1670</v>
      </c>
      <c r="G43" s="234">
        <v>1740</v>
      </c>
      <c r="H43" s="234">
        <v>1740</v>
      </c>
      <c r="I43" s="116" t="s">
        <v>310</v>
      </c>
      <c r="K43" s="64"/>
    </row>
    <row r="44" spans="1:12" ht="18" customHeight="1" x14ac:dyDescent="0.25">
      <c r="A44" s="50" t="s">
        <v>174</v>
      </c>
      <c r="B44" s="40" t="s">
        <v>176</v>
      </c>
      <c r="C44" s="243">
        <v>8</v>
      </c>
      <c r="D44" s="243">
        <v>8</v>
      </c>
      <c r="E44" s="243">
        <v>13</v>
      </c>
      <c r="F44" s="243">
        <v>18</v>
      </c>
      <c r="G44" s="243">
        <v>18</v>
      </c>
      <c r="H44" s="243">
        <v>18</v>
      </c>
      <c r="I44" s="46"/>
      <c r="K44" s="64"/>
    </row>
    <row r="45" spans="1:12" ht="18" customHeight="1" x14ac:dyDescent="0.25">
      <c r="A45" s="53" t="s">
        <v>174</v>
      </c>
      <c r="B45" s="54" t="s">
        <v>164</v>
      </c>
      <c r="C45" s="244">
        <f>$C82</f>
        <v>22.63</v>
      </c>
      <c r="D45" s="244">
        <f t="shared" ref="D45:H45" si="8">$C82</f>
        <v>22.63</v>
      </c>
      <c r="E45" s="244">
        <f t="shared" si="8"/>
        <v>22.63</v>
      </c>
      <c r="F45" s="244">
        <f t="shared" si="8"/>
        <v>22.63</v>
      </c>
      <c r="G45" s="244">
        <f t="shared" si="8"/>
        <v>22.63</v>
      </c>
      <c r="H45" s="244">
        <f t="shared" si="8"/>
        <v>22.63</v>
      </c>
      <c r="I45" s="59"/>
      <c r="K45" s="64"/>
    </row>
    <row r="46" spans="1:12" ht="18" customHeight="1" x14ac:dyDescent="0.25">
      <c r="A46" s="50" t="s">
        <v>177</v>
      </c>
      <c r="B46" s="40" t="s">
        <v>178</v>
      </c>
      <c r="C46" s="234">
        <v>70</v>
      </c>
      <c r="D46" s="234">
        <v>140</v>
      </c>
      <c r="E46" s="234">
        <v>210</v>
      </c>
      <c r="F46" s="234">
        <v>230</v>
      </c>
      <c r="G46" s="234">
        <v>230</v>
      </c>
      <c r="H46" s="234">
        <v>230</v>
      </c>
      <c r="I46" s="46" t="s">
        <v>179</v>
      </c>
      <c r="K46" s="64"/>
    </row>
    <row r="47" spans="1:12" ht="18" customHeight="1" x14ac:dyDescent="0.25">
      <c r="A47" s="50" t="s">
        <v>177</v>
      </c>
      <c r="B47" s="40" t="s">
        <v>180</v>
      </c>
      <c r="C47" s="246">
        <v>5</v>
      </c>
      <c r="D47" s="246">
        <v>5</v>
      </c>
      <c r="E47" s="246">
        <v>5</v>
      </c>
      <c r="F47" s="246">
        <v>8</v>
      </c>
      <c r="G47" s="246">
        <v>8</v>
      </c>
      <c r="H47" s="246">
        <v>8</v>
      </c>
      <c r="I47" s="55"/>
      <c r="K47" s="64"/>
    </row>
    <row r="48" spans="1:12" ht="18" customHeight="1" x14ac:dyDescent="0.25">
      <c r="A48" s="53" t="s">
        <v>177</v>
      </c>
      <c r="B48" s="54" t="s">
        <v>164</v>
      </c>
      <c r="C48" s="244">
        <f>C$82</f>
        <v>22.63</v>
      </c>
      <c r="D48" s="244">
        <f t="shared" ref="D48:H48" si="9">D$82</f>
        <v>22.63</v>
      </c>
      <c r="E48" s="244">
        <f t="shared" si="9"/>
        <v>22.63</v>
      </c>
      <c r="F48" s="244">
        <f t="shared" si="9"/>
        <v>22.63</v>
      </c>
      <c r="G48" s="244">
        <f t="shared" si="9"/>
        <v>22.63</v>
      </c>
      <c r="H48" s="244">
        <f t="shared" si="9"/>
        <v>22.63</v>
      </c>
      <c r="I48" s="62"/>
      <c r="K48" s="41"/>
    </row>
    <row r="49" spans="1:11" ht="18" customHeight="1" x14ac:dyDescent="0.25">
      <c r="A49" s="50" t="s">
        <v>181</v>
      </c>
      <c r="B49" s="40" t="s">
        <v>182</v>
      </c>
      <c r="C49" s="234">
        <v>155</v>
      </c>
      <c r="D49" s="234">
        <v>155</v>
      </c>
      <c r="E49" s="234">
        <v>155</v>
      </c>
      <c r="F49" s="234">
        <v>155</v>
      </c>
      <c r="G49" s="234">
        <v>155</v>
      </c>
      <c r="H49" s="234">
        <v>155</v>
      </c>
      <c r="I49" s="61"/>
      <c r="K49" s="41"/>
    </row>
    <row r="50" spans="1:11" ht="18" customHeight="1" x14ac:dyDescent="0.25">
      <c r="A50" s="50" t="s">
        <v>181</v>
      </c>
      <c r="B50" s="40" t="s">
        <v>183</v>
      </c>
      <c r="C50" s="234">
        <v>120</v>
      </c>
      <c r="D50" s="234">
        <v>120</v>
      </c>
      <c r="E50" s="234">
        <v>120</v>
      </c>
      <c r="F50" s="234">
        <v>120</v>
      </c>
      <c r="G50" s="234">
        <v>120</v>
      </c>
      <c r="H50" s="234">
        <v>120</v>
      </c>
      <c r="I50" s="61"/>
      <c r="K50" s="41"/>
    </row>
    <row r="51" spans="1:11" ht="18" customHeight="1" x14ac:dyDescent="0.25">
      <c r="A51" s="50" t="s">
        <v>184</v>
      </c>
      <c r="B51" s="40" t="s">
        <v>185</v>
      </c>
      <c r="C51" s="246">
        <v>10</v>
      </c>
      <c r="D51" s="246">
        <v>10</v>
      </c>
      <c r="E51" s="246">
        <v>10</v>
      </c>
      <c r="F51" s="246">
        <v>10</v>
      </c>
      <c r="G51" s="246">
        <v>10</v>
      </c>
      <c r="H51" s="246">
        <v>10</v>
      </c>
      <c r="I51" s="40"/>
    </row>
    <row r="52" spans="1:11" ht="18" customHeight="1" x14ac:dyDescent="0.25">
      <c r="A52" s="53" t="s">
        <v>181</v>
      </c>
      <c r="B52" s="54" t="s">
        <v>164</v>
      </c>
      <c r="C52" s="244">
        <f t="shared" ref="C52:H52" si="10">C$82</f>
        <v>22.63</v>
      </c>
      <c r="D52" s="244">
        <f t="shared" si="10"/>
        <v>22.63</v>
      </c>
      <c r="E52" s="244">
        <f t="shared" si="10"/>
        <v>22.63</v>
      </c>
      <c r="F52" s="244">
        <f t="shared" si="10"/>
        <v>22.63</v>
      </c>
      <c r="G52" s="244">
        <f t="shared" si="10"/>
        <v>22.63</v>
      </c>
      <c r="H52" s="244">
        <f t="shared" si="10"/>
        <v>22.63</v>
      </c>
      <c r="I52" s="62"/>
      <c r="K52" s="41"/>
    </row>
    <row r="53" spans="1:11" ht="18" customHeight="1" x14ac:dyDescent="0.25">
      <c r="A53" s="50" t="s">
        <v>186</v>
      </c>
      <c r="B53" s="40" t="s">
        <v>187</v>
      </c>
      <c r="C53" s="233">
        <v>0</v>
      </c>
      <c r="D53" s="233">
        <v>0</v>
      </c>
      <c r="E53" s="234">
        <v>65</v>
      </c>
      <c r="F53" s="234">
        <v>65</v>
      </c>
      <c r="G53" s="234">
        <v>65</v>
      </c>
      <c r="H53" s="234">
        <v>65</v>
      </c>
      <c r="I53" s="61"/>
      <c r="K53" s="41"/>
    </row>
    <row r="54" spans="1:11" ht="18" customHeight="1" x14ac:dyDescent="0.25">
      <c r="A54" s="53" t="s">
        <v>186</v>
      </c>
      <c r="B54" s="54" t="s">
        <v>188</v>
      </c>
      <c r="C54" s="245">
        <v>0</v>
      </c>
      <c r="D54" s="245">
        <v>0</v>
      </c>
      <c r="E54" s="248">
        <v>3</v>
      </c>
      <c r="F54" s="248">
        <v>3</v>
      </c>
      <c r="G54" s="248">
        <v>3</v>
      </c>
      <c r="H54" s="248">
        <v>3</v>
      </c>
      <c r="I54" s="54"/>
    </row>
    <row r="55" spans="1:11" ht="36" customHeight="1" x14ac:dyDescent="0.25">
      <c r="A55" s="49" t="s">
        <v>39</v>
      </c>
      <c r="B55" s="74" t="s">
        <v>316</v>
      </c>
      <c r="C55" s="240">
        <v>0</v>
      </c>
      <c r="D55" s="240">
        <v>0</v>
      </c>
      <c r="E55" s="239">
        <v>4350</v>
      </c>
      <c r="F55" s="240">
        <v>0</v>
      </c>
      <c r="G55" s="240">
        <v>0</v>
      </c>
      <c r="H55" s="240">
        <v>0</v>
      </c>
      <c r="I55" s="74" t="s">
        <v>298</v>
      </c>
    </row>
    <row r="56" spans="1:11" ht="18" customHeight="1" x14ac:dyDescent="0.25">
      <c r="A56" s="50" t="s">
        <v>189</v>
      </c>
      <c r="B56" s="40" t="s">
        <v>190</v>
      </c>
      <c r="C56" s="234">
        <v>20</v>
      </c>
      <c r="D56" s="234">
        <v>20</v>
      </c>
      <c r="E56" s="234">
        <v>20</v>
      </c>
      <c r="F56" s="234">
        <v>20</v>
      </c>
      <c r="G56" s="234">
        <f>F56</f>
        <v>20</v>
      </c>
      <c r="H56" s="234">
        <f>G56</f>
        <v>20</v>
      </c>
      <c r="I56" s="61"/>
      <c r="K56" s="66"/>
    </row>
    <row r="57" spans="1:11" ht="18" customHeight="1" x14ac:dyDescent="0.25">
      <c r="A57" s="50" t="s">
        <v>189</v>
      </c>
      <c r="B57" s="40" t="s">
        <v>191</v>
      </c>
      <c r="C57" s="234">
        <v>30</v>
      </c>
      <c r="D57" s="234">
        <f>C57</f>
        <v>30</v>
      </c>
      <c r="E57" s="234">
        <f t="shared" ref="E57:H57" si="11">D57</f>
        <v>30</v>
      </c>
      <c r="F57" s="234">
        <f t="shared" si="11"/>
        <v>30</v>
      </c>
      <c r="G57" s="234">
        <f t="shared" si="11"/>
        <v>30</v>
      </c>
      <c r="H57" s="234">
        <f t="shared" si="11"/>
        <v>30</v>
      </c>
      <c r="I57" s="61"/>
      <c r="K57" s="66"/>
    </row>
    <row r="58" spans="1:11" ht="18" customHeight="1" x14ac:dyDescent="0.25">
      <c r="A58" s="50" t="s">
        <v>189</v>
      </c>
      <c r="B58" s="40" t="s">
        <v>192</v>
      </c>
      <c r="C58" s="233">
        <v>0</v>
      </c>
      <c r="D58" s="233">
        <v>0</v>
      </c>
      <c r="E58" s="233">
        <v>0</v>
      </c>
      <c r="F58" s="233">
        <v>0</v>
      </c>
      <c r="G58" s="233">
        <v>0</v>
      </c>
      <c r="H58" s="233">
        <v>0</v>
      </c>
      <c r="I58" s="61"/>
      <c r="K58" s="66"/>
    </row>
    <row r="59" spans="1:11" ht="18" customHeight="1" x14ac:dyDescent="0.25">
      <c r="A59" s="50" t="s">
        <v>189</v>
      </c>
      <c r="B59" s="40" t="s">
        <v>193</v>
      </c>
      <c r="C59" s="233">
        <v>0</v>
      </c>
      <c r="D59" s="233">
        <v>0</v>
      </c>
      <c r="E59" s="234">
        <v>35</v>
      </c>
      <c r="F59" s="234">
        <v>35</v>
      </c>
      <c r="G59" s="234">
        <f t="shared" ref="G59:H59" si="12">F59</f>
        <v>35</v>
      </c>
      <c r="H59" s="234">
        <f t="shared" si="12"/>
        <v>35</v>
      </c>
      <c r="I59" s="61"/>
      <c r="K59" s="66"/>
    </row>
    <row r="60" spans="1:11" ht="18" customHeight="1" x14ac:dyDescent="0.25">
      <c r="A60" s="50" t="s">
        <v>189</v>
      </c>
      <c r="B60" s="40" t="s">
        <v>194</v>
      </c>
      <c r="C60" s="234">
        <v>200</v>
      </c>
      <c r="D60" s="234">
        <f>C60</f>
        <v>200</v>
      </c>
      <c r="E60" s="234">
        <f t="shared" ref="E60:H60" si="13">D60</f>
        <v>200</v>
      </c>
      <c r="F60" s="234">
        <f t="shared" si="13"/>
        <v>200</v>
      </c>
      <c r="G60" s="234">
        <f t="shared" si="13"/>
        <v>200</v>
      </c>
      <c r="H60" s="234">
        <f t="shared" si="13"/>
        <v>200</v>
      </c>
      <c r="I60" s="61" t="s">
        <v>288</v>
      </c>
      <c r="K60" s="41"/>
    </row>
    <row r="61" spans="1:11" ht="36" customHeight="1" x14ac:dyDescent="0.25">
      <c r="A61" s="53" t="s">
        <v>189</v>
      </c>
      <c r="B61" s="48" t="s">
        <v>195</v>
      </c>
      <c r="C61" s="244">
        <v>180</v>
      </c>
      <c r="D61" s="244">
        <v>135</v>
      </c>
      <c r="E61" s="244">
        <v>140</v>
      </c>
      <c r="F61" s="244">
        <v>160</v>
      </c>
      <c r="G61" s="244">
        <v>180</v>
      </c>
      <c r="H61" s="244">
        <v>180</v>
      </c>
      <c r="I61" s="62"/>
      <c r="K61" s="41"/>
    </row>
    <row r="62" spans="1:11" ht="36" customHeight="1" x14ac:dyDescent="0.25">
      <c r="A62" s="50" t="s">
        <v>443</v>
      </c>
      <c r="B62" s="40" t="s">
        <v>289</v>
      </c>
      <c r="C62" s="242">
        <v>0</v>
      </c>
      <c r="D62" s="242">
        <v>0</v>
      </c>
      <c r="E62" s="234">
        <v>0.34</v>
      </c>
      <c r="F62" s="234">
        <v>0.34</v>
      </c>
      <c r="G62" s="234">
        <v>0.33</v>
      </c>
      <c r="H62" s="234">
        <f>G62</f>
        <v>0.33</v>
      </c>
      <c r="I62" s="210" t="s">
        <v>452</v>
      </c>
      <c r="K62" s="41"/>
    </row>
    <row r="63" spans="1:11" ht="36" customHeight="1" x14ac:dyDescent="0.25">
      <c r="A63" s="50" t="s">
        <v>443</v>
      </c>
      <c r="B63" s="55" t="s">
        <v>290</v>
      </c>
      <c r="C63" s="233">
        <v>0</v>
      </c>
      <c r="D63" s="233">
        <v>0</v>
      </c>
      <c r="E63" s="234">
        <v>0.15</v>
      </c>
      <c r="F63" s="234">
        <f>E63</f>
        <v>0.15</v>
      </c>
      <c r="G63" s="234">
        <f t="shared" ref="G63:H64" si="14">F63</f>
        <v>0.15</v>
      </c>
      <c r="H63" s="234">
        <f t="shared" si="14"/>
        <v>0.15</v>
      </c>
      <c r="I63" s="46"/>
      <c r="K63" s="66"/>
    </row>
    <row r="64" spans="1:11" ht="36" customHeight="1" x14ac:dyDescent="0.25">
      <c r="A64" s="53" t="s">
        <v>443</v>
      </c>
      <c r="B64" s="54" t="s">
        <v>291</v>
      </c>
      <c r="C64" s="245">
        <v>0</v>
      </c>
      <c r="D64" s="245">
        <v>0</v>
      </c>
      <c r="E64" s="244">
        <v>0.05</v>
      </c>
      <c r="F64" s="244">
        <f>E64</f>
        <v>0.05</v>
      </c>
      <c r="G64" s="244">
        <f t="shared" si="14"/>
        <v>0.05</v>
      </c>
      <c r="H64" s="244">
        <f t="shared" si="14"/>
        <v>0.05</v>
      </c>
      <c r="I64" s="59" t="s">
        <v>196</v>
      </c>
      <c r="K64" s="66"/>
    </row>
    <row r="65" spans="1:12" ht="18" customHeight="1" x14ac:dyDescent="0.25">
      <c r="A65" s="53" t="s">
        <v>197</v>
      </c>
      <c r="B65" s="54" t="s">
        <v>292</v>
      </c>
      <c r="C65" s="245">
        <v>0</v>
      </c>
      <c r="D65" s="245">
        <v>0</v>
      </c>
      <c r="E65" s="244">
        <v>0.9</v>
      </c>
      <c r="F65" s="244">
        <f>E65</f>
        <v>0.9</v>
      </c>
      <c r="G65" s="244">
        <f>F65</f>
        <v>0.9</v>
      </c>
      <c r="H65" s="244">
        <f>G65</f>
        <v>0.9</v>
      </c>
      <c r="I65" s="59"/>
      <c r="K65" s="66"/>
    </row>
    <row r="66" spans="1:12" ht="36" customHeight="1" x14ac:dyDescent="0.25">
      <c r="A66" s="50" t="s">
        <v>198</v>
      </c>
      <c r="B66" s="40" t="s">
        <v>199</v>
      </c>
      <c r="C66" s="234">
        <v>100</v>
      </c>
      <c r="D66" s="234">
        <f>C66</f>
        <v>100</v>
      </c>
      <c r="E66" s="234">
        <f t="shared" ref="E66:H66" si="15">D66</f>
        <v>100</v>
      </c>
      <c r="F66" s="234">
        <f t="shared" si="15"/>
        <v>100</v>
      </c>
      <c r="G66" s="234">
        <f t="shared" si="15"/>
        <v>100</v>
      </c>
      <c r="H66" s="234">
        <f t="shared" si="15"/>
        <v>100</v>
      </c>
      <c r="I66" s="46" t="s">
        <v>200</v>
      </c>
      <c r="K66" s="41"/>
    </row>
    <row r="67" spans="1:12" ht="18" customHeight="1" x14ac:dyDescent="0.25">
      <c r="A67" s="50" t="s">
        <v>198</v>
      </c>
      <c r="B67" s="40" t="s">
        <v>201</v>
      </c>
      <c r="C67" s="234">
        <v>190</v>
      </c>
      <c r="D67" s="234">
        <f t="shared" ref="D67:H72" si="16">C67</f>
        <v>190</v>
      </c>
      <c r="E67" s="234">
        <f t="shared" si="16"/>
        <v>190</v>
      </c>
      <c r="F67" s="234">
        <f t="shared" si="16"/>
        <v>190</v>
      </c>
      <c r="G67" s="234">
        <f t="shared" si="16"/>
        <v>190</v>
      </c>
      <c r="H67" s="234">
        <f t="shared" si="16"/>
        <v>190</v>
      </c>
      <c r="I67" s="61"/>
      <c r="J67" s="64"/>
      <c r="K67" s="41"/>
      <c r="L67" s="64"/>
    </row>
    <row r="68" spans="1:12" ht="18" customHeight="1" x14ac:dyDescent="0.25">
      <c r="A68" s="50" t="s">
        <v>198</v>
      </c>
      <c r="B68" s="40" t="s">
        <v>295</v>
      </c>
      <c r="C68" s="233">
        <v>0</v>
      </c>
      <c r="D68" s="233">
        <v>0</v>
      </c>
      <c r="E68" s="233">
        <v>0</v>
      </c>
      <c r="F68" s="234">
        <v>300</v>
      </c>
      <c r="G68" s="234">
        <f t="shared" si="16"/>
        <v>300</v>
      </c>
      <c r="H68" s="234">
        <f t="shared" si="16"/>
        <v>300</v>
      </c>
      <c r="I68" s="61" t="s">
        <v>296</v>
      </c>
      <c r="J68" s="64"/>
      <c r="K68" s="41"/>
      <c r="L68" s="64"/>
    </row>
    <row r="69" spans="1:12" ht="18" customHeight="1" x14ac:dyDescent="0.25">
      <c r="A69" s="50" t="s">
        <v>198</v>
      </c>
      <c r="B69" s="40" t="s">
        <v>29</v>
      </c>
      <c r="C69" s="234">
        <v>120</v>
      </c>
      <c r="D69" s="234">
        <f t="shared" si="16"/>
        <v>120</v>
      </c>
      <c r="E69" s="234">
        <f t="shared" si="16"/>
        <v>120</v>
      </c>
      <c r="F69" s="234">
        <f t="shared" si="16"/>
        <v>120</v>
      </c>
      <c r="G69" s="234">
        <f t="shared" si="16"/>
        <v>120</v>
      </c>
      <c r="H69" s="234">
        <f t="shared" si="16"/>
        <v>120</v>
      </c>
      <c r="I69" s="61"/>
      <c r="J69" s="64"/>
      <c r="K69" s="41"/>
      <c r="L69" s="64"/>
    </row>
    <row r="70" spans="1:12" ht="18" customHeight="1" x14ac:dyDescent="0.25">
      <c r="A70" s="50" t="s">
        <v>198</v>
      </c>
      <c r="B70" s="40" t="s">
        <v>294</v>
      </c>
      <c r="C70" s="234">
        <v>375</v>
      </c>
      <c r="D70" s="234">
        <f t="shared" si="16"/>
        <v>375</v>
      </c>
      <c r="E70" s="234">
        <f t="shared" si="16"/>
        <v>375</v>
      </c>
      <c r="F70" s="234">
        <f t="shared" si="16"/>
        <v>375</v>
      </c>
      <c r="G70" s="234">
        <f t="shared" si="16"/>
        <v>375</v>
      </c>
      <c r="H70" s="234">
        <f t="shared" si="16"/>
        <v>375</v>
      </c>
      <c r="I70" s="46"/>
      <c r="J70" s="64"/>
      <c r="K70" s="41"/>
      <c r="L70" s="64"/>
    </row>
    <row r="71" spans="1:12" ht="18" customHeight="1" x14ac:dyDescent="0.25">
      <c r="A71" s="50" t="s">
        <v>198</v>
      </c>
      <c r="B71" s="40" t="s">
        <v>293</v>
      </c>
      <c r="C71" s="234">
        <v>50</v>
      </c>
      <c r="D71" s="234">
        <f t="shared" si="16"/>
        <v>50</v>
      </c>
      <c r="E71" s="234">
        <f t="shared" si="16"/>
        <v>50</v>
      </c>
      <c r="F71" s="234">
        <f t="shared" si="16"/>
        <v>50</v>
      </c>
      <c r="G71" s="234">
        <f t="shared" si="16"/>
        <v>50</v>
      </c>
      <c r="H71" s="234">
        <f t="shared" si="16"/>
        <v>50</v>
      </c>
      <c r="I71" s="46"/>
      <c r="J71" s="64"/>
      <c r="K71" s="41"/>
      <c r="L71" s="64"/>
    </row>
    <row r="72" spans="1:12" ht="18" customHeight="1" x14ac:dyDescent="0.25">
      <c r="A72" s="50" t="s">
        <v>198</v>
      </c>
      <c r="B72" s="40" t="s">
        <v>202</v>
      </c>
      <c r="C72" s="234">
        <v>700</v>
      </c>
      <c r="D72" s="234">
        <f t="shared" si="16"/>
        <v>700</v>
      </c>
      <c r="E72" s="234">
        <f t="shared" si="16"/>
        <v>700</v>
      </c>
      <c r="F72" s="234">
        <f t="shared" si="16"/>
        <v>700</v>
      </c>
      <c r="G72" s="234">
        <f t="shared" si="16"/>
        <v>700</v>
      </c>
      <c r="H72" s="234">
        <f t="shared" si="16"/>
        <v>700</v>
      </c>
      <c r="I72" s="61"/>
      <c r="J72" s="64"/>
      <c r="K72" s="66"/>
      <c r="L72" s="64"/>
    </row>
    <row r="73" spans="1:12" ht="18" customHeight="1" x14ac:dyDescent="0.25">
      <c r="A73" s="50" t="s">
        <v>198</v>
      </c>
      <c r="B73" s="40" t="s">
        <v>203</v>
      </c>
      <c r="C73" s="249">
        <v>0.05</v>
      </c>
      <c r="D73" s="249">
        <v>0.05</v>
      </c>
      <c r="E73" s="249">
        <v>0.05</v>
      </c>
      <c r="F73" s="249">
        <v>0.05</v>
      </c>
      <c r="G73" s="249">
        <v>0.05</v>
      </c>
      <c r="H73" s="249">
        <v>0.05</v>
      </c>
      <c r="I73" s="26"/>
      <c r="J73" s="64"/>
      <c r="K73" s="14"/>
      <c r="L73" s="64"/>
    </row>
    <row r="74" spans="1:12" ht="18" customHeight="1" x14ac:dyDescent="0.25">
      <c r="A74" s="50" t="s">
        <v>198</v>
      </c>
      <c r="B74" s="40" t="s">
        <v>204</v>
      </c>
      <c r="C74" s="249">
        <v>0.05</v>
      </c>
      <c r="D74" s="249">
        <v>0.05</v>
      </c>
      <c r="E74" s="249">
        <v>0.05</v>
      </c>
      <c r="F74" s="249">
        <v>0.05</v>
      </c>
      <c r="G74" s="249">
        <v>0.05</v>
      </c>
      <c r="H74" s="249">
        <v>0.05</v>
      </c>
      <c r="I74" s="26"/>
      <c r="J74" s="64"/>
      <c r="K74" s="14"/>
      <c r="L74" s="64"/>
    </row>
    <row r="75" spans="1:12" ht="18" customHeight="1" x14ac:dyDescent="0.25">
      <c r="A75" s="50" t="s">
        <v>198</v>
      </c>
      <c r="B75" s="40" t="s">
        <v>205</v>
      </c>
      <c r="C75" s="249">
        <v>0.05</v>
      </c>
      <c r="D75" s="249">
        <v>0.05</v>
      </c>
      <c r="E75" s="249">
        <v>0.05</v>
      </c>
      <c r="F75" s="249">
        <v>0.05</v>
      </c>
      <c r="G75" s="249">
        <v>0.05</v>
      </c>
      <c r="H75" s="249">
        <v>0</v>
      </c>
      <c r="I75" s="26"/>
      <c r="J75" s="64"/>
      <c r="K75" s="14"/>
      <c r="L75" s="64"/>
    </row>
    <row r="76" spans="1:12" ht="18" customHeight="1" x14ac:dyDescent="0.25">
      <c r="A76" s="50" t="s">
        <v>198</v>
      </c>
      <c r="B76" s="40" t="s">
        <v>206</v>
      </c>
      <c r="C76" s="246">
        <v>1</v>
      </c>
      <c r="D76" s="246">
        <v>1</v>
      </c>
      <c r="E76" s="246">
        <v>1</v>
      </c>
      <c r="F76" s="246">
        <v>1</v>
      </c>
      <c r="G76" s="246">
        <v>1</v>
      </c>
      <c r="H76" s="246">
        <v>0.75</v>
      </c>
      <c r="I76" s="40"/>
      <c r="J76" s="64"/>
      <c r="L76" s="64"/>
    </row>
    <row r="77" spans="1:12" ht="18" customHeight="1" x14ac:dyDescent="0.25">
      <c r="A77" s="50" t="s">
        <v>198</v>
      </c>
      <c r="B77" s="40" t="s">
        <v>207</v>
      </c>
      <c r="C77" s="246">
        <v>12</v>
      </c>
      <c r="D77" s="246">
        <f>C77</f>
        <v>12</v>
      </c>
      <c r="E77" s="246">
        <f t="shared" ref="E77:H79" si="17">D77</f>
        <v>12</v>
      </c>
      <c r="F77" s="246">
        <f t="shared" si="17"/>
        <v>12</v>
      </c>
      <c r="G77" s="246">
        <f t="shared" si="17"/>
        <v>12</v>
      </c>
      <c r="H77" s="246">
        <f t="shared" si="17"/>
        <v>12</v>
      </c>
      <c r="I77" s="40"/>
      <c r="J77" s="64"/>
      <c r="L77" s="64"/>
    </row>
    <row r="78" spans="1:12" ht="18" customHeight="1" x14ac:dyDescent="0.25">
      <c r="A78" s="50" t="s">
        <v>198</v>
      </c>
      <c r="B78" s="40" t="s">
        <v>208</v>
      </c>
      <c r="C78" s="246">
        <f>C77-1</f>
        <v>11</v>
      </c>
      <c r="D78" s="246">
        <f>C78</f>
        <v>11</v>
      </c>
      <c r="E78" s="246">
        <f t="shared" si="17"/>
        <v>11</v>
      </c>
      <c r="F78" s="246">
        <f t="shared" si="17"/>
        <v>11</v>
      </c>
      <c r="G78" s="246">
        <f t="shared" si="17"/>
        <v>11</v>
      </c>
      <c r="H78" s="246">
        <f t="shared" si="17"/>
        <v>11</v>
      </c>
      <c r="I78" s="40"/>
      <c r="J78" s="64"/>
      <c r="L78" s="64"/>
    </row>
    <row r="79" spans="1:12" ht="18" customHeight="1" x14ac:dyDescent="0.25">
      <c r="A79" s="50" t="s">
        <v>198</v>
      </c>
      <c r="B79" s="40" t="s">
        <v>209</v>
      </c>
      <c r="C79" s="235">
        <v>519</v>
      </c>
      <c r="D79" s="235">
        <f>C79</f>
        <v>519</v>
      </c>
      <c r="E79" s="235">
        <f t="shared" si="17"/>
        <v>519</v>
      </c>
      <c r="F79" s="235">
        <f t="shared" si="17"/>
        <v>519</v>
      </c>
      <c r="G79" s="235">
        <f t="shared" si="17"/>
        <v>519</v>
      </c>
      <c r="H79" s="235">
        <f t="shared" si="17"/>
        <v>519</v>
      </c>
      <c r="I79" s="40"/>
      <c r="J79" s="64"/>
      <c r="L79" s="64"/>
    </row>
    <row r="80" spans="1:12" ht="18" customHeight="1" x14ac:dyDescent="0.25">
      <c r="A80" s="53" t="s">
        <v>198</v>
      </c>
      <c r="B80" s="54" t="s">
        <v>210</v>
      </c>
      <c r="C80" s="248">
        <v>300</v>
      </c>
      <c r="D80" s="248">
        <v>300</v>
      </c>
      <c r="E80" s="248">
        <v>300</v>
      </c>
      <c r="F80" s="248">
        <v>300</v>
      </c>
      <c r="G80" s="248">
        <v>300</v>
      </c>
      <c r="H80" s="248">
        <v>300</v>
      </c>
      <c r="I80" s="54"/>
      <c r="J80" s="64"/>
      <c r="L80" s="64"/>
    </row>
    <row r="81" spans="1:12" ht="18" customHeight="1" x14ac:dyDescent="0.25">
      <c r="A81" s="67" t="s">
        <v>446</v>
      </c>
      <c r="B81" s="60" t="s">
        <v>211</v>
      </c>
      <c r="C81" s="241">
        <v>21.63</v>
      </c>
      <c r="D81" s="241">
        <f>C81</f>
        <v>21.63</v>
      </c>
      <c r="E81" s="241">
        <f t="shared" ref="E81:H82" si="18">D81</f>
        <v>21.63</v>
      </c>
      <c r="F81" s="241">
        <f t="shared" si="18"/>
        <v>21.63</v>
      </c>
      <c r="G81" s="241">
        <f t="shared" si="18"/>
        <v>21.63</v>
      </c>
      <c r="H81" s="241">
        <f t="shared" si="18"/>
        <v>21.63</v>
      </c>
      <c r="I81" s="60" t="s">
        <v>444</v>
      </c>
      <c r="J81" s="64"/>
      <c r="L81" s="64"/>
    </row>
    <row r="82" spans="1:12" ht="18" customHeight="1" x14ac:dyDescent="0.25">
      <c r="A82" s="279" t="s">
        <v>446</v>
      </c>
      <c r="B82" s="55" t="s">
        <v>311</v>
      </c>
      <c r="C82" s="234">
        <v>22.63</v>
      </c>
      <c r="D82" s="234">
        <f>C82</f>
        <v>22.63</v>
      </c>
      <c r="E82" s="234">
        <f t="shared" si="18"/>
        <v>22.63</v>
      </c>
      <c r="F82" s="234">
        <f t="shared" si="18"/>
        <v>22.63</v>
      </c>
      <c r="G82" s="234">
        <f t="shared" si="18"/>
        <v>22.63</v>
      </c>
      <c r="H82" s="234">
        <f t="shared" si="18"/>
        <v>22.63</v>
      </c>
      <c r="I82" s="40" t="s">
        <v>445</v>
      </c>
      <c r="J82" s="64"/>
      <c r="L82" s="64"/>
    </row>
    <row r="84" spans="1:12" x14ac:dyDescent="0.25">
      <c r="I84" s="40"/>
    </row>
    <row r="85" spans="1:12" x14ac:dyDescent="0.25">
      <c r="I85" s="51"/>
      <c r="J85" s="39"/>
      <c r="L85" s="39"/>
    </row>
  </sheetData>
  <phoneticPr fontId="29" type="noConversion"/>
  <pageMargins left="0.7" right="0.7" top="0.75" bottom="0.75" header="0.3" footer="0.3"/>
  <pageSetup orientation="portrait" horizontalDpi="1200" verticalDpi="1200" r:id="rId1"/>
  <ignoredErrors>
    <ignoredError sqref="D3:H82" calculatedColumn="1"/>
  </ignoredErrors>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F5DA-6354-4906-98B7-F0EC913E8210}">
  <dimension ref="A1:H33"/>
  <sheetViews>
    <sheetView workbookViewId="0">
      <selection activeCell="B6" sqref="B6"/>
    </sheetView>
  </sheetViews>
  <sheetFormatPr defaultColWidth="8.85546875" defaultRowHeight="15" x14ac:dyDescent="0.25"/>
  <cols>
    <col min="1" max="1" width="23.42578125" style="25" customWidth="1"/>
    <col min="2" max="2" width="22.85546875" style="25" customWidth="1"/>
    <col min="3" max="7" width="8.85546875" style="25"/>
    <col min="8" max="16384" width="8.85546875" style="132"/>
  </cols>
  <sheetData>
    <row r="1" spans="1:8" ht="30" customHeight="1" x14ac:dyDescent="0.3">
      <c r="A1" s="162" t="s">
        <v>449</v>
      </c>
      <c r="B1" s="37"/>
      <c r="C1" s="37"/>
      <c r="D1" s="37"/>
      <c r="E1" s="37"/>
      <c r="F1" s="37"/>
      <c r="G1" s="37"/>
    </row>
    <row r="2" spans="1:8" s="151" customFormat="1" ht="18" customHeight="1" x14ac:dyDescent="0.25">
      <c r="A2" s="149" t="s">
        <v>221</v>
      </c>
      <c r="B2" s="149" t="s">
        <v>59</v>
      </c>
      <c r="C2" s="150"/>
      <c r="D2" s="150"/>
      <c r="E2" s="150"/>
      <c r="F2" s="150"/>
      <c r="G2" s="150"/>
    </row>
    <row r="3" spans="1:8" ht="18" customHeight="1" x14ac:dyDescent="0.25">
      <c r="A3" s="152" t="s">
        <v>7</v>
      </c>
      <c r="B3" s="219" t="s">
        <v>430</v>
      </c>
      <c r="C3" s="114"/>
      <c r="D3" s="114"/>
      <c r="E3" s="114"/>
      <c r="F3" s="114"/>
      <c r="G3" s="114"/>
      <c r="H3" s="114"/>
    </row>
    <row r="4" spans="1:8" ht="18" customHeight="1" x14ac:dyDescent="0.25">
      <c r="A4" s="152" t="s">
        <v>8</v>
      </c>
      <c r="B4" s="219" t="s">
        <v>267</v>
      </c>
      <c r="C4" s="114"/>
      <c r="D4" s="114"/>
      <c r="E4" s="114"/>
      <c r="F4" s="114"/>
      <c r="G4" s="114"/>
    </row>
    <row r="5" spans="1:8" ht="18" customHeight="1" x14ac:dyDescent="0.25">
      <c r="A5" s="152" t="s">
        <v>9</v>
      </c>
      <c r="B5" s="219" t="s">
        <v>268</v>
      </c>
      <c r="C5" s="114"/>
      <c r="D5" s="114"/>
      <c r="E5" s="114"/>
      <c r="F5" s="114"/>
      <c r="G5" s="114"/>
    </row>
    <row r="6" spans="1:8" ht="18" customHeight="1" x14ac:dyDescent="0.25">
      <c r="A6" s="152" t="s">
        <v>10</v>
      </c>
      <c r="B6" s="219" t="s">
        <v>269</v>
      </c>
      <c r="C6" s="114"/>
      <c r="D6" s="114"/>
      <c r="E6" s="114"/>
      <c r="F6" s="114"/>
      <c r="G6" s="114"/>
    </row>
    <row r="7" spans="1:8" ht="18" customHeight="1" x14ac:dyDescent="0.25">
      <c r="A7" s="152" t="s">
        <v>264</v>
      </c>
      <c r="B7" s="219" t="s">
        <v>265</v>
      </c>
      <c r="C7" s="114"/>
      <c r="D7" s="114"/>
      <c r="E7" s="114"/>
      <c r="F7" s="114"/>
      <c r="G7" s="114"/>
    </row>
    <row r="8" spans="1:8" ht="18" customHeight="1" x14ac:dyDescent="0.25">
      <c r="A8" s="152" t="s">
        <v>11</v>
      </c>
      <c r="B8" s="219" t="s">
        <v>266</v>
      </c>
      <c r="C8" s="114"/>
      <c r="D8" s="114"/>
      <c r="E8" s="114"/>
      <c r="F8" s="114"/>
      <c r="G8" s="114"/>
    </row>
    <row r="9" spans="1:8" ht="18" customHeight="1" x14ac:dyDescent="0.25">
      <c r="A9" s="152" t="s">
        <v>12</v>
      </c>
      <c r="B9" s="219" t="s">
        <v>271</v>
      </c>
      <c r="C9" s="114"/>
      <c r="D9" s="114"/>
      <c r="E9" s="114"/>
      <c r="F9" s="114"/>
      <c r="G9" s="114"/>
    </row>
    <row r="10" spans="1:8" ht="18" customHeight="1" x14ac:dyDescent="0.25">
      <c r="A10" s="152" t="s">
        <v>13</v>
      </c>
      <c r="B10" s="219" t="s">
        <v>270</v>
      </c>
      <c r="C10" s="114"/>
      <c r="D10" s="114"/>
      <c r="E10" s="114"/>
      <c r="F10" s="114"/>
      <c r="G10" s="114"/>
    </row>
    <row r="11" spans="1:8" x14ac:dyDescent="0.25">
      <c r="A11" s="76"/>
      <c r="B11" s="76"/>
    </row>
    <row r="12" spans="1:8" x14ac:dyDescent="0.25">
      <c r="A12" s="76"/>
      <c r="B12" s="76"/>
    </row>
    <row r="13" spans="1:8" x14ac:dyDescent="0.25">
      <c r="A13" s="76"/>
      <c r="B13" s="76"/>
    </row>
    <row r="14" spans="1:8" x14ac:dyDescent="0.25">
      <c r="A14" s="76"/>
      <c r="B14" s="76"/>
    </row>
    <row r="15" spans="1:8" x14ac:dyDescent="0.25">
      <c r="A15" s="76"/>
      <c r="B15" s="76"/>
    </row>
    <row r="16" spans="1:8" x14ac:dyDescent="0.25">
      <c r="A16" s="76"/>
      <c r="B16" s="76"/>
    </row>
    <row r="17" spans="1:7" x14ac:dyDescent="0.25">
      <c r="A17" s="76"/>
      <c r="B17" s="76"/>
    </row>
    <row r="18" spans="1:7" x14ac:dyDescent="0.25">
      <c r="A18" s="76"/>
      <c r="B18" s="76"/>
    </row>
    <row r="19" spans="1:7" x14ac:dyDescent="0.25">
      <c r="A19" s="76"/>
      <c r="B19" s="76"/>
    </row>
    <row r="20" spans="1:7" x14ac:dyDescent="0.25">
      <c r="A20" s="76"/>
      <c r="B20" s="76"/>
    </row>
    <row r="21" spans="1:7" x14ac:dyDescent="0.25">
      <c r="A21" s="76"/>
      <c r="B21" s="76"/>
    </row>
    <row r="22" spans="1:7" x14ac:dyDescent="0.25">
      <c r="A22" s="76"/>
      <c r="B22" s="76"/>
    </row>
    <row r="23" spans="1:7" x14ac:dyDescent="0.25">
      <c r="A23" s="76"/>
      <c r="B23" s="76"/>
    </row>
    <row r="24" spans="1:7" x14ac:dyDescent="0.25">
      <c r="A24" s="81"/>
      <c r="B24" s="81"/>
      <c r="C24" s="10"/>
      <c r="D24" s="10"/>
      <c r="E24" s="10"/>
      <c r="F24" s="10"/>
      <c r="G24" s="10"/>
    </row>
    <row r="25" spans="1:7" x14ac:dyDescent="0.25">
      <c r="A25" s="76"/>
      <c r="B25" s="76"/>
    </row>
    <row r="26" spans="1:7" x14ac:dyDescent="0.25">
      <c r="A26" s="76"/>
      <c r="B26" s="76"/>
    </row>
    <row r="27" spans="1:7" x14ac:dyDescent="0.25">
      <c r="A27" s="76"/>
      <c r="B27" s="76"/>
    </row>
    <row r="33" spans="1:2" x14ac:dyDescent="0.25">
      <c r="A33" s="76"/>
      <c r="B33" s="76"/>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9"/>
  <sheetViews>
    <sheetView workbookViewId="0"/>
  </sheetViews>
  <sheetFormatPr defaultColWidth="9.140625" defaultRowHeight="15" x14ac:dyDescent="0.25"/>
  <cols>
    <col min="1" max="1" width="22.28515625" style="27" customWidth="1"/>
    <col min="2" max="2" width="44.28515625" style="24" customWidth="1"/>
    <col min="3" max="3" width="12.7109375" style="24" customWidth="1"/>
    <col min="4" max="4" width="11.42578125" style="24" customWidth="1"/>
    <col min="5" max="5" width="11.7109375" style="24" customWidth="1"/>
    <col min="6" max="6" width="12.7109375" style="24" customWidth="1"/>
    <col min="7" max="7" width="12.42578125" style="24" customWidth="1"/>
    <col min="8" max="8" width="21" style="24" customWidth="1"/>
    <col min="9" max="9" width="10.7109375" style="24" customWidth="1"/>
    <col min="10" max="16384" width="9.140625" style="24"/>
  </cols>
  <sheetData>
    <row r="1" spans="1:11" s="6" customFormat="1" ht="30" customHeight="1" x14ac:dyDescent="0.3">
      <c r="A1" s="162" t="s">
        <v>450</v>
      </c>
      <c r="B1" s="162"/>
      <c r="C1" s="162"/>
      <c r="D1" s="162"/>
      <c r="E1" s="162"/>
      <c r="F1" s="162"/>
      <c r="G1" s="162"/>
      <c r="H1" s="162"/>
      <c r="I1" s="162"/>
      <c r="J1" s="152"/>
    </row>
    <row r="2" spans="1:11" s="25" customFormat="1" ht="47.45" customHeight="1" x14ac:dyDescent="0.25">
      <c r="A2" s="82" t="s">
        <v>222</v>
      </c>
      <c r="B2" s="83" t="s">
        <v>223</v>
      </c>
      <c r="C2" s="84" t="s">
        <v>15</v>
      </c>
      <c r="D2" s="85" t="s">
        <v>16</v>
      </c>
      <c r="E2" s="85" t="s">
        <v>17</v>
      </c>
      <c r="F2" s="85" t="s">
        <v>18</v>
      </c>
      <c r="G2" s="85" t="s">
        <v>19</v>
      </c>
      <c r="H2" s="70" t="s">
        <v>219</v>
      </c>
      <c r="I2" s="22"/>
      <c r="J2" s="28"/>
    </row>
    <row r="3" spans="1:11" ht="18" customHeight="1" x14ac:dyDescent="0.25">
      <c r="A3" s="38" t="s">
        <v>224</v>
      </c>
      <c r="B3" s="22" t="s">
        <v>304</v>
      </c>
      <c r="C3" s="79">
        <v>0</v>
      </c>
      <c r="D3" s="79">
        <v>0</v>
      </c>
      <c r="E3" s="80">
        <f>'App9. Data for tables'!E$7*'App9. Data for tables'!E$8</f>
        <v>1500</v>
      </c>
      <c r="F3" s="80">
        <f>'App9. Data for tables'!F$7*'App9. Data for tables'!F$8</f>
        <v>4000</v>
      </c>
      <c r="G3" s="80">
        <f>'App9. Data for tables'!G$7*'App9. Data for tables'!G$8</f>
        <v>8000</v>
      </c>
      <c r="H3" s="80">
        <f>'App9. Data for tables'!H$7*'App9. Data for tables'!H$8</f>
        <v>9000</v>
      </c>
      <c r="I3" s="121"/>
      <c r="J3" s="38"/>
      <c r="K3" s="211"/>
    </row>
    <row r="4" spans="1:11" ht="18" customHeight="1" x14ac:dyDescent="0.25">
      <c r="A4" s="38" t="s">
        <v>224</v>
      </c>
      <c r="B4" s="22" t="s">
        <v>305</v>
      </c>
      <c r="C4" s="79">
        <v>0</v>
      </c>
      <c r="D4" s="79">
        <v>0</v>
      </c>
      <c r="E4" s="80">
        <f>'App9. Data for tables'!E$7*'App9. Data for tables'!E$9</f>
        <v>900</v>
      </c>
      <c r="F4" s="80">
        <f>'App9. Data for tables'!F$7*'App9. Data for tables'!F$9</f>
        <v>2400</v>
      </c>
      <c r="G4" s="80">
        <f>'App9. Data for tables'!G$7*'App9. Data for tables'!G$9</f>
        <v>4800</v>
      </c>
      <c r="H4" s="80">
        <f>'App9. Data for tables'!H$7*'App9. Data for tables'!H$9</f>
        <v>5400</v>
      </c>
      <c r="I4" s="121"/>
      <c r="J4" s="38"/>
      <c r="K4" s="211"/>
    </row>
    <row r="5" spans="1:11" ht="18" customHeight="1" x14ac:dyDescent="0.25">
      <c r="A5" s="38" t="s">
        <v>224</v>
      </c>
      <c r="B5" s="22" t="s">
        <v>306</v>
      </c>
      <c r="C5" s="79">
        <v>0</v>
      </c>
      <c r="D5" s="79">
        <v>0</v>
      </c>
      <c r="E5" s="80">
        <f>'App9. Data for tables'!E$7*'App9. Data for tables'!E$10</f>
        <v>0</v>
      </c>
      <c r="F5" s="80">
        <f>'App9. Data for tables'!F$7*'App9. Data for tables'!F$10</f>
        <v>0</v>
      </c>
      <c r="G5" s="80">
        <f>'App9. Data for tables'!G$7*'App9. Data for tables'!G$10</f>
        <v>0</v>
      </c>
      <c r="H5" s="80">
        <f>'App9. Data for tables'!H$7*'App9. Data for tables'!H$10</f>
        <v>0</v>
      </c>
      <c r="I5" s="121"/>
      <c r="J5" s="38"/>
      <c r="K5" s="211"/>
    </row>
    <row r="6" spans="1:11" ht="18" customHeight="1" x14ac:dyDescent="0.25">
      <c r="A6" s="38" t="s">
        <v>224</v>
      </c>
      <c r="B6" s="22" t="s">
        <v>307</v>
      </c>
      <c r="C6" s="79">
        <v>0</v>
      </c>
      <c r="D6" s="79">
        <v>0</v>
      </c>
      <c r="E6" s="80">
        <f>'App9. Data for tables'!E$7*'App9. Data for tables'!E$11</f>
        <v>600</v>
      </c>
      <c r="F6" s="80">
        <f>'App9. Data for tables'!F$7*'App9. Data for tables'!F$11</f>
        <v>1600</v>
      </c>
      <c r="G6" s="80">
        <f>'App9. Data for tables'!G$7*'App9. Data for tables'!G$11</f>
        <v>3200</v>
      </c>
      <c r="H6" s="80">
        <f>'App9. Data for tables'!H$7*'App9. Data for tables'!H$11</f>
        <v>3600</v>
      </c>
      <c r="I6" s="121"/>
      <c r="J6" s="38"/>
      <c r="K6" s="211"/>
    </row>
    <row r="7" spans="1:11" ht="18" customHeight="1" x14ac:dyDescent="0.25">
      <c r="A7" s="38" t="s">
        <v>225</v>
      </c>
      <c r="B7" s="17" t="s">
        <v>301</v>
      </c>
      <c r="C7" s="80">
        <f>'App9. Data for tables'!$C3</f>
        <v>0</v>
      </c>
      <c r="D7" s="80">
        <f>'App9. Data for tables'!$D3</f>
        <v>0</v>
      </c>
      <c r="E7" s="80">
        <f>'App9. Data for tables'!$F3</f>
        <v>4.03</v>
      </c>
      <c r="F7" s="80">
        <f>'App9. Data for tables'!$F3</f>
        <v>4.03</v>
      </c>
      <c r="G7" s="80">
        <f>'App9. Data for tables'!$G3</f>
        <v>4.03</v>
      </c>
      <c r="H7" s="80">
        <f>'App9. Data for tables'!$H3</f>
        <v>4.03</v>
      </c>
      <c r="I7" s="22"/>
      <c r="J7" s="28"/>
      <c r="K7" s="25"/>
    </row>
    <row r="8" spans="1:11" ht="18" customHeight="1" x14ac:dyDescent="0.25">
      <c r="A8" s="38" t="s">
        <v>225</v>
      </c>
      <c r="B8" s="17" t="s">
        <v>302</v>
      </c>
      <c r="C8" s="80">
        <f>'App9. Data for tables'!$C4</f>
        <v>0</v>
      </c>
      <c r="D8" s="80">
        <f>'App9. Data for tables'!$D4</f>
        <v>0</v>
      </c>
      <c r="E8" s="80">
        <f>'App9. Data for tables'!$F4</f>
        <v>3.73</v>
      </c>
      <c r="F8" s="80">
        <f>'App9. Data for tables'!$F4</f>
        <v>3.73</v>
      </c>
      <c r="G8" s="80">
        <f>'App9. Data for tables'!$G4</f>
        <v>3.73</v>
      </c>
      <c r="H8" s="80">
        <f>'App9. Data for tables'!$H4</f>
        <v>3.73</v>
      </c>
      <c r="I8" s="22"/>
      <c r="J8" s="28"/>
      <c r="K8" s="25"/>
    </row>
    <row r="9" spans="1:11" ht="18" customHeight="1" x14ac:dyDescent="0.25">
      <c r="A9" s="38" t="s">
        <v>225</v>
      </c>
      <c r="B9" s="17" t="s">
        <v>303</v>
      </c>
      <c r="C9" s="80">
        <f>'App9. Data for tables'!$C5</f>
        <v>0</v>
      </c>
      <c r="D9" s="80">
        <f>'App9. Data for tables'!$D5</f>
        <v>0</v>
      </c>
      <c r="E9" s="80">
        <f>'App9. Data for tables'!$F5</f>
        <v>0</v>
      </c>
      <c r="F9" s="80">
        <f>'App9. Data for tables'!$F5</f>
        <v>0</v>
      </c>
      <c r="G9" s="80">
        <f>'App9. Data for tables'!$G5</f>
        <v>0</v>
      </c>
      <c r="H9" s="80">
        <f>'App9. Data for tables'!$H5</f>
        <v>0</v>
      </c>
      <c r="I9" s="22"/>
      <c r="J9" s="28"/>
      <c r="K9" s="25"/>
    </row>
    <row r="10" spans="1:11" ht="18" customHeight="1" x14ac:dyDescent="0.25">
      <c r="A10" s="38" t="s">
        <v>225</v>
      </c>
      <c r="B10" s="17" t="s">
        <v>308</v>
      </c>
      <c r="C10" s="80">
        <f>'App9. Data for tables'!$C6</f>
        <v>0</v>
      </c>
      <c r="D10" s="80">
        <f>'App9. Data for tables'!$D6</f>
        <v>0</v>
      </c>
      <c r="E10" s="80">
        <f>'App9. Data for tables'!$F6</f>
        <v>0.04</v>
      </c>
      <c r="F10" s="80">
        <f>'App9. Data for tables'!$F6</f>
        <v>0.04</v>
      </c>
      <c r="G10" s="80">
        <f>'App9. Data for tables'!$G6</f>
        <v>0.04</v>
      </c>
      <c r="H10" s="80">
        <f>'App9. Data for tables'!$H6</f>
        <v>0.04</v>
      </c>
      <c r="I10" s="22"/>
      <c r="J10" s="28"/>
      <c r="K10" s="25"/>
    </row>
    <row r="11" spans="1:11" ht="18" customHeight="1" x14ac:dyDescent="0.25">
      <c r="A11" s="38" t="s">
        <v>226</v>
      </c>
      <c r="B11" s="153" t="s">
        <v>20</v>
      </c>
      <c r="C11" s="154">
        <f>(C$3*C$7)+(C$4*C$8)+(C$5*C$9)+(C$6*C$10)</f>
        <v>0</v>
      </c>
      <c r="D11" s="154">
        <f t="shared" ref="D11:E11" si="0">(D$3*D$7)+(D$4*D$8)+(D$5*D$9)+(D$6*D$10)</f>
        <v>0</v>
      </c>
      <c r="E11" s="154">
        <f t="shared" si="0"/>
        <v>9426</v>
      </c>
      <c r="F11" s="154">
        <f>(F$3*F$7)+(F$4*F$8)+(F$5*F$9)+(F$6*F$10)</f>
        <v>25136</v>
      </c>
      <c r="G11" s="154">
        <f>(G$3*G$7)+(G$4*G$8)+(G$5*G$9)+(G$6*G$10)</f>
        <v>50272</v>
      </c>
      <c r="H11" s="154">
        <f>(H$3*H$7)+(H$4*H$8)+(H$5*H$9)+(H$6*H$10)</f>
        <v>56556</v>
      </c>
      <c r="I11" s="22"/>
      <c r="J11" s="28"/>
      <c r="K11" s="25"/>
    </row>
    <row r="12" spans="1:11" s="8" customFormat="1" ht="45" customHeight="1" x14ac:dyDescent="0.25">
      <c r="A12" s="86" t="s">
        <v>227</v>
      </c>
      <c r="B12" s="11" t="s">
        <v>21</v>
      </c>
      <c r="C12" s="95">
        <f>SUM('App5. Estab Costs'!$E$4:$E$7)</f>
        <v>2811.3150000000001</v>
      </c>
      <c r="D12" s="111">
        <v>0</v>
      </c>
      <c r="E12" s="111">
        <v>0</v>
      </c>
      <c r="F12" s="111">
        <v>0</v>
      </c>
      <c r="G12" s="111">
        <v>0</v>
      </c>
      <c r="H12" s="111">
        <v>0</v>
      </c>
      <c r="I12" s="7"/>
      <c r="J12" s="163"/>
      <c r="K12" s="10"/>
    </row>
    <row r="13" spans="1:11" ht="18" customHeight="1" x14ac:dyDescent="0.25">
      <c r="A13" s="38" t="s">
        <v>227</v>
      </c>
      <c r="B13" s="17" t="s">
        <v>22</v>
      </c>
      <c r="C13" s="155">
        <f>SUM('App5. Estab Costs'!$E$8:$E$9)</f>
        <v>7506.5</v>
      </c>
      <c r="D13" s="156">
        <v>0</v>
      </c>
      <c r="E13" s="156">
        <v>0</v>
      </c>
      <c r="F13" s="156">
        <v>0</v>
      </c>
      <c r="G13" s="156">
        <v>0</v>
      </c>
      <c r="H13" s="156">
        <v>0</v>
      </c>
      <c r="I13" s="22"/>
      <c r="J13" s="25"/>
      <c r="K13" s="17"/>
    </row>
    <row r="14" spans="1:11" ht="18" customHeight="1" x14ac:dyDescent="0.25">
      <c r="A14" s="38" t="s">
        <v>227</v>
      </c>
      <c r="B14" s="17" t="s">
        <v>217</v>
      </c>
      <c r="C14" s="155">
        <f>'App5. Estab Costs'!$E$15</f>
        <v>324.45</v>
      </c>
      <c r="D14" s="155">
        <f>'App5. Estab Costs'!$E$31</f>
        <v>540.75</v>
      </c>
      <c r="E14" s="155">
        <f>'App5. Estab Costs'!$E$51</f>
        <v>886.82999999999993</v>
      </c>
      <c r="F14" s="155">
        <f>'App5. Estab Costs'!$E$75</f>
        <v>1232.9099999999999</v>
      </c>
      <c r="G14" s="155">
        <f>'App5. Estab Costs'!$E$98</f>
        <v>1254.54</v>
      </c>
      <c r="H14" s="155">
        <f>'App6. Full Prod Costs'!$D$5</f>
        <v>1254.54</v>
      </c>
      <c r="I14" s="22"/>
      <c r="J14" s="25"/>
      <c r="K14" s="17"/>
    </row>
    <row r="15" spans="1:11" ht="18" customHeight="1" x14ac:dyDescent="0.25">
      <c r="A15" s="38" t="s">
        <v>227</v>
      </c>
      <c r="B15" s="17" t="s">
        <v>322</v>
      </c>
      <c r="C15" s="155">
        <f>'App5. Estab Costs'!$E$16</f>
        <v>0</v>
      </c>
      <c r="D15" s="155">
        <f>'App5. Estab Costs'!$E$32</f>
        <v>0</v>
      </c>
      <c r="E15" s="155">
        <f>'App5. Estab Costs'!$E$52</f>
        <v>0</v>
      </c>
      <c r="F15" s="155">
        <f>'App5. Estab Costs'!$E$76</f>
        <v>0</v>
      </c>
      <c r="G15" s="155">
        <f>'App5. Estab Costs'!$E$99</f>
        <v>0</v>
      </c>
      <c r="H15" s="155">
        <f>'App6. Full Prod Costs'!$D$6</f>
        <v>0</v>
      </c>
      <c r="I15" s="22"/>
      <c r="J15" s="25"/>
      <c r="K15" s="17"/>
    </row>
    <row r="16" spans="1:11" ht="18" customHeight="1" x14ac:dyDescent="0.25">
      <c r="A16" s="38" t="s">
        <v>227</v>
      </c>
      <c r="B16" s="17" t="s">
        <v>324</v>
      </c>
      <c r="C16" s="155">
        <f>'App5. Estab Costs'!$E$17+'App5. Estab Costs'!$E$18</f>
        <v>731.04</v>
      </c>
      <c r="D16" s="155">
        <f>'App5. Estab Costs'!$E$33+'App5. Estab Costs'!$E$34</f>
        <v>1181.04</v>
      </c>
      <c r="E16" s="155">
        <f>'App5. Estab Costs'!$E$53+'App5. Estab Costs'!$E$54</f>
        <v>1814.19</v>
      </c>
      <c r="F16" s="155">
        <f>'App5. Estab Costs'!$E$77+'App5. Estab Costs'!$E$78</f>
        <v>2077.34</v>
      </c>
      <c r="G16" s="155">
        <f>'App5. Estab Costs'!$E$100+'App5. Estab Costs'!$E$101</f>
        <v>2147.34</v>
      </c>
      <c r="H16" s="155">
        <f>'App6. Full Prod Costs'!$D$7+'App6. Full Prod Costs'!$D$8</f>
        <v>2147.34</v>
      </c>
      <c r="I16" s="22"/>
      <c r="J16" s="25"/>
      <c r="K16" s="28"/>
    </row>
    <row r="17" spans="1:12" ht="18" customHeight="1" x14ac:dyDescent="0.25">
      <c r="A17" s="38" t="s">
        <v>227</v>
      </c>
      <c r="B17" s="17" t="s">
        <v>325</v>
      </c>
      <c r="C17" s="155">
        <f>'App5. Estab Costs'!$E$19+'App5. Estab Costs'!$E$20</f>
        <v>183.14999999999998</v>
      </c>
      <c r="D17" s="155">
        <f>'App5. Estab Costs'!$E$35+'App5. Estab Costs'!$E$36</f>
        <v>253.14999999999998</v>
      </c>
      <c r="E17" s="155">
        <f>'App5. Estab Costs'!$E$55+'App5. Estab Costs'!$E$56</f>
        <v>323.14999999999998</v>
      </c>
      <c r="F17" s="155">
        <f>'App5. Estab Costs'!$E$79+'App5. Estab Costs'!$E$80</f>
        <v>411.03999999999996</v>
      </c>
      <c r="G17" s="155">
        <f>'App5. Estab Costs'!$E$102+'App5. Estab Costs'!$E$103</f>
        <v>411.03999999999996</v>
      </c>
      <c r="H17" s="155">
        <f>'App6. Full Prod Costs'!$D$9+'App6. Full Prod Costs'!$D$10</f>
        <v>411.03999999999996</v>
      </c>
      <c r="I17" s="22"/>
    </row>
    <row r="18" spans="1:12" ht="18" customHeight="1" x14ac:dyDescent="0.25">
      <c r="A18" s="38" t="s">
        <v>227</v>
      </c>
      <c r="B18" s="17" t="s">
        <v>23</v>
      </c>
      <c r="C18" s="155">
        <f>'App5. Estab Costs'!$E$21+'App5. Estab Costs'!$E$22</f>
        <v>275</v>
      </c>
      <c r="D18" s="155">
        <f>'App5. Estab Costs'!$E$37+'App5. Estab Costs'!$E$38</f>
        <v>275</v>
      </c>
      <c r="E18" s="155">
        <f>'App5. Estab Costs'!$E$57+'App5. Estab Costs'!$E$58</f>
        <v>275</v>
      </c>
      <c r="F18" s="155">
        <f>'App5. Estab Costs'!$E$81+'App5. Estab Costs'!$E$82</f>
        <v>275</v>
      </c>
      <c r="G18" s="155">
        <f>'App5. Estab Costs'!$E$104+'App5. Estab Costs'!$E$105</f>
        <v>275</v>
      </c>
      <c r="H18" s="155">
        <f>'App6. Full Prod Costs'!$D$11+'App6. Full Prod Costs'!$D$12</f>
        <v>275</v>
      </c>
      <c r="I18" s="22"/>
    </row>
    <row r="19" spans="1:12" ht="18" customHeight="1" x14ac:dyDescent="0.25">
      <c r="A19" s="38" t="s">
        <v>227</v>
      </c>
      <c r="B19" s="17" t="s">
        <v>327</v>
      </c>
      <c r="C19" s="155">
        <f>'App5. Estab Costs'!$E$23</f>
        <v>226.29999999999998</v>
      </c>
      <c r="D19" s="155">
        <f>'App5. Estab Costs'!$E$39</f>
        <v>226.29999999999998</v>
      </c>
      <c r="E19" s="155">
        <f>'App5. Estab Costs'!$E$59</f>
        <v>226.29999999999998</v>
      </c>
      <c r="F19" s="155">
        <f>'App5. Estab Costs'!$E$83</f>
        <v>226.29999999999998</v>
      </c>
      <c r="G19" s="155">
        <f>'App5. Estab Costs'!$E$106</f>
        <v>226.29999999999998</v>
      </c>
      <c r="H19" s="155">
        <f>'App6. Full Prod Costs'!$D$13</f>
        <v>226.29999999999998</v>
      </c>
      <c r="I19" s="22"/>
      <c r="J19" s="120"/>
    </row>
    <row r="20" spans="1:12" ht="18" customHeight="1" x14ac:dyDescent="0.25">
      <c r="A20" s="38" t="s">
        <v>227</v>
      </c>
      <c r="B20" s="17" t="s">
        <v>379</v>
      </c>
      <c r="C20" s="155">
        <v>0</v>
      </c>
      <c r="D20" s="155">
        <v>0</v>
      </c>
      <c r="E20" s="155">
        <f>'App5. Estab Costs'!$E$48</f>
        <v>300</v>
      </c>
      <c r="F20" s="155">
        <f>'App5. Estab Costs'!$E$73</f>
        <v>300</v>
      </c>
      <c r="G20" s="155">
        <f>'App5. Estab Costs'!$E$96</f>
        <v>300</v>
      </c>
      <c r="H20" s="155">
        <f>'App6. Full Prod Costs'!$D$3</f>
        <v>300</v>
      </c>
      <c r="I20" s="22"/>
    </row>
    <row r="21" spans="1:12" ht="18" customHeight="1" x14ac:dyDescent="0.25">
      <c r="A21" s="38" t="s">
        <v>227</v>
      </c>
      <c r="B21" s="17" t="s">
        <v>328</v>
      </c>
      <c r="C21" s="155">
        <v>0</v>
      </c>
      <c r="D21" s="155">
        <v>0</v>
      </c>
      <c r="E21" s="155">
        <f>'App5. Estab Costs'!$E$50</f>
        <v>0</v>
      </c>
      <c r="F21" s="155">
        <f>'App5. Estab Costs'!$E$74</f>
        <v>0</v>
      </c>
      <c r="G21" s="155">
        <f>'App5. Estab Costs'!$E$97</f>
        <v>0</v>
      </c>
      <c r="H21" s="155">
        <f>'App6. Full Prod Costs'!$D$4</f>
        <v>0</v>
      </c>
      <c r="I21" s="22"/>
      <c r="J21" s="120"/>
    </row>
    <row r="22" spans="1:12" ht="18" customHeight="1" x14ac:dyDescent="0.25">
      <c r="A22" s="38" t="s">
        <v>227</v>
      </c>
      <c r="B22" s="17" t="s">
        <v>24</v>
      </c>
      <c r="C22" s="155">
        <v>0</v>
      </c>
      <c r="D22" s="155">
        <v>0</v>
      </c>
      <c r="E22" s="155">
        <f>'App5. Estab Costs'!$E$60</f>
        <v>195</v>
      </c>
      <c r="F22" s="155">
        <f>'App5. Estab Costs'!$E$84</f>
        <v>195</v>
      </c>
      <c r="G22" s="155">
        <f>'App5. Estab Costs'!$E$107</f>
        <v>195</v>
      </c>
      <c r="H22" s="155">
        <f>'App6. Full Prod Costs'!$D$14</f>
        <v>195</v>
      </c>
      <c r="I22" s="22"/>
    </row>
    <row r="23" spans="1:12" ht="18" customHeight="1" x14ac:dyDescent="0.25">
      <c r="A23" s="38" t="s">
        <v>227</v>
      </c>
      <c r="B23" s="17" t="s">
        <v>330</v>
      </c>
      <c r="C23" s="155">
        <f>'App5. Estab Costs'!$E$26</f>
        <v>100</v>
      </c>
      <c r="D23" s="155">
        <f>'App5. Estab Costs'!$E$42</f>
        <v>100</v>
      </c>
      <c r="E23" s="155">
        <f>'App5. Estab Costs'!$E$64</f>
        <v>100</v>
      </c>
      <c r="F23" s="155">
        <f>'App5. Estab Costs'!$E$87</f>
        <v>100</v>
      </c>
      <c r="G23" s="155">
        <f>'App5. Estab Costs'!$E$110</f>
        <v>100</v>
      </c>
      <c r="H23" s="155">
        <f>'App6. Full Prod Costs'!$D$17</f>
        <v>100</v>
      </c>
      <c r="I23" s="22"/>
      <c r="L23" s="25"/>
    </row>
    <row r="24" spans="1:12" ht="18" customHeight="1" x14ac:dyDescent="0.25">
      <c r="A24" s="38" t="s">
        <v>227</v>
      </c>
      <c r="B24" s="17" t="s">
        <v>332</v>
      </c>
      <c r="C24" s="155">
        <v>0</v>
      </c>
      <c r="D24" s="155">
        <v>0</v>
      </c>
      <c r="E24" s="155">
        <f>'App5. Estab Costs'!$E69</f>
        <v>1020.0000000000001</v>
      </c>
      <c r="F24" s="155">
        <f>'App5. Estab Costs'!$E92</f>
        <v>2720</v>
      </c>
      <c r="G24" s="155">
        <f>'App5. Estab Costs'!$E115</f>
        <v>5280</v>
      </c>
      <c r="H24" s="155">
        <f>'App6. Full Prod Costs'!$D22</f>
        <v>5940</v>
      </c>
      <c r="I24" s="22"/>
    </row>
    <row r="25" spans="1:12" ht="18" customHeight="1" x14ac:dyDescent="0.25">
      <c r="A25" s="38" t="s">
        <v>227</v>
      </c>
      <c r="B25" s="17" t="s">
        <v>333</v>
      </c>
      <c r="C25" s="155">
        <v>0</v>
      </c>
      <c r="D25" s="155">
        <v>0</v>
      </c>
      <c r="E25" s="155">
        <f>'App5. Estab Costs'!$E70</f>
        <v>450</v>
      </c>
      <c r="F25" s="155">
        <f>'App5. Estab Costs'!$E93</f>
        <v>1200</v>
      </c>
      <c r="G25" s="155">
        <f>'App5. Estab Costs'!$E116</f>
        <v>2400</v>
      </c>
      <c r="H25" s="155">
        <f>'App6. Full Prod Costs'!$D23</f>
        <v>2700</v>
      </c>
      <c r="I25" s="22"/>
    </row>
    <row r="26" spans="1:12" ht="18" customHeight="1" x14ac:dyDescent="0.25">
      <c r="A26" s="38" t="s">
        <v>227</v>
      </c>
      <c r="B26" s="17" t="s">
        <v>469</v>
      </c>
      <c r="C26" s="155">
        <v>0</v>
      </c>
      <c r="D26" s="155">
        <v>0</v>
      </c>
      <c r="E26" s="155">
        <f>'App5. Estab Costs'!$E71</f>
        <v>150</v>
      </c>
      <c r="F26" s="155">
        <f>'App5. Estab Costs'!$E94</f>
        <v>400</v>
      </c>
      <c r="G26" s="155">
        <f>'App5. Estab Costs'!$E117</f>
        <v>800</v>
      </c>
      <c r="H26" s="155">
        <f>'App6. Full Prod Costs'!$D24</f>
        <v>900</v>
      </c>
      <c r="I26" s="22"/>
    </row>
    <row r="27" spans="1:12" ht="18" customHeight="1" x14ac:dyDescent="0.25">
      <c r="A27" s="38" t="s">
        <v>227</v>
      </c>
      <c r="B27" s="28" t="s">
        <v>334</v>
      </c>
      <c r="C27" s="155">
        <v>0</v>
      </c>
      <c r="D27" s="155">
        <v>0</v>
      </c>
      <c r="E27" s="155">
        <f>'App5. Estab Costs'!$E72</f>
        <v>2700</v>
      </c>
      <c r="F27" s="155">
        <f>'App5. Estab Costs'!$E95</f>
        <v>7200</v>
      </c>
      <c r="G27" s="155">
        <f>'App5. Estab Costs'!$E118</f>
        <v>14400</v>
      </c>
      <c r="H27" s="155">
        <f>'App6. Full Prod Costs'!$D25</f>
        <v>16200</v>
      </c>
      <c r="I27" s="22"/>
    </row>
    <row r="28" spans="1:12" ht="18" customHeight="1" x14ac:dyDescent="0.25">
      <c r="A28" s="38" t="s">
        <v>227</v>
      </c>
      <c r="B28" s="17" t="s">
        <v>25</v>
      </c>
      <c r="C28" s="155">
        <f>'App5. Estab Costs'!$E$24</f>
        <v>250</v>
      </c>
      <c r="D28" s="155">
        <f>'App5. Estab Costs'!$E$40</f>
        <v>250</v>
      </c>
      <c r="E28" s="155">
        <f>'App5. Estab Costs'!$E$62</f>
        <v>285</v>
      </c>
      <c r="F28" s="155">
        <f>'App5. Estab Costs'!$E$85</f>
        <v>285</v>
      </c>
      <c r="G28" s="155">
        <f>'App5. Estab Costs'!$E$108</f>
        <v>285</v>
      </c>
      <c r="H28" s="155">
        <f>'App6. Full Prod Costs'!$D$15</f>
        <v>285</v>
      </c>
      <c r="I28" s="22"/>
    </row>
    <row r="29" spans="1:12" ht="18" customHeight="1" x14ac:dyDescent="0.25">
      <c r="A29" s="38" t="s">
        <v>227</v>
      </c>
      <c r="B29" s="17" t="s">
        <v>26</v>
      </c>
      <c r="C29" s="155">
        <f>'App5. Estab Costs'!$E$25</f>
        <v>180</v>
      </c>
      <c r="D29" s="155">
        <f>'App5. Estab Costs'!$E$41</f>
        <v>135</v>
      </c>
      <c r="E29" s="155">
        <f>'App5. Estab Costs'!$E$63</f>
        <v>140</v>
      </c>
      <c r="F29" s="155">
        <f>'App5. Estab Costs'!$E$86</f>
        <v>160</v>
      </c>
      <c r="G29" s="155">
        <f>'App5. Estab Costs'!$E$109</f>
        <v>180</v>
      </c>
      <c r="H29" s="155">
        <f>'App6. Full Prod Costs'!$D$16</f>
        <v>180</v>
      </c>
      <c r="I29" s="22"/>
    </row>
    <row r="30" spans="1:12" ht="18" customHeight="1" x14ac:dyDescent="0.25">
      <c r="A30" s="38" t="s">
        <v>227</v>
      </c>
      <c r="B30" s="17" t="s">
        <v>335</v>
      </c>
      <c r="C30" s="155">
        <f>SUM(C12:C29)*'App9. Data for tables'!$C$73</f>
        <v>629.38774999999998</v>
      </c>
      <c r="D30" s="155">
        <f>SUM(D12:D29)*'App9. Data for tables'!$C$73</f>
        <v>148.06200000000001</v>
      </c>
      <c r="E30" s="155">
        <f>SUM(E12:E29)*'App9. Data for tables'!$C$73</f>
        <v>443.27350000000007</v>
      </c>
      <c r="F30" s="155">
        <f>SUM(F12:F29)*'App9. Data for tables'!$C$73</f>
        <v>839.12950000000001</v>
      </c>
      <c r="G30" s="155">
        <f>SUM(G12:G29)*'App9. Data for tables'!$C$73</f>
        <v>1412.7110000000002</v>
      </c>
      <c r="H30" s="155">
        <f>SUM(H12:H29)*'App9. Data for tables'!$H$73</f>
        <v>1555.7110000000002</v>
      </c>
      <c r="I30" s="22"/>
      <c r="J30" s="25"/>
      <c r="K30" s="25"/>
    </row>
    <row r="31" spans="1:12" ht="18" customHeight="1" x14ac:dyDescent="0.25">
      <c r="A31" s="38" t="s">
        <v>227</v>
      </c>
      <c r="B31" s="17" t="s">
        <v>336</v>
      </c>
      <c r="C31" s="155">
        <f>SUM(C12:C30)*'App9. Data for tables'!$C$74*'App9. Data for tables'!$C$76</f>
        <v>660.85713750000002</v>
      </c>
      <c r="D31" s="155">
        <f>SUM(D12:D30)*'App9. Data for tables'!$D$74*'App9. Data for tables'!$D$76</f>
        <v>155.46510000000001</v>
      </c>
      <c r="E31" s="155">
        <f>SUM(E12:E30)*'App9. Data for tables'!$E$74*'App9. Data for tables'!$E$76</f>
        <v>465.43717500000002</v>
      </c>
      <c r="F31" s="155">
        <f>SUM(F12:F30)*'App9. Data for tables'!$F$74*'App9. Data for tables'!$F$76</f>
        <v>881.08597499999996</v>
      </c>
      <c r="G31" s="155">
        <f>SUM(G12:G30)*'App9. Data for tables'!$G$74*'App9. Data for tables'!$G$76</f>
        <v>1483.3465500000002</v>
      </c>
      <c r="H31" s="155">
        <f>SUM(H12:H30)*'App9. Data for tables'!$H$74*'App9. Data for tables'!$H$76</f>
        <v>1225.1224125000001</v>
      </c>
      <c r="I31" s="22"/>
      <c r="J31" s="25"/>
      <c r="K31" s="25"/>
    </row>
    <row r="32" spans="1:12" ht="18" customHeight="1" x14ac:dyDescent="0.25">
      <c r="A32" s="157" t="s">
        <v>228</v>
      </c>
      <c r="B32" s="126" t="s">
        <v>27</v>
      </c>
      <c r="C32" s="158">
        <f>SUM(C12:C31)</f>
        <v>13877.999887499998</v>
      </c>
      <c r="D32" s="158">
        <f t="shared" ref="D32:H32" si="1">SUM(D12:D31)</f>
        <v>3264.7671</v>
      </c>
      <c r="E32" s="158">
        <f t="shared" si="1"/>
        <v>9774.1806749999996</v>
      </c>
      <c r="F32" s="158">
        <f t="shared" si="1"/>
        <v>18502.805475000001</v>
      </c>
      <c r="G32" s="158">
        <f t="shared" si="1"/>
        <v>31150.277549999999</v>
      </c>
      <c r="H32" s="158">
        <f t="shared" si="1"/>
        <v>33895.053412499998</v>
      </c>
      <c r="I32" s="22"/>
      <c r="J32" s="25"/>
      <c r="K32" s="25"/>
    </row>
    <row r="33" spans="1:11" ht="18" customHeight="1" x14ac:dyDescent="0.25">
      <c r="A33" s="157" t="s">
        <v>229</v>
      </c>
      <c r="B33" s="126" t="s">
        <v>230</v>
      </c>
      <c r="C33" s="159">
        <f>C11-C32</f>
        <v>-13877.999887499998</v>
      </c>
      <c r="D33" s="159">
        <f t="shared" ref="D33:H33" si="2">D11-D32</f>
        <v>-3264.7671</v>
      </c>
      <c r="E33" s="159">
        <f t="shared" si="2"/>
        <v>-348.18067499999961</v>
      </c>
      <c r="F33" s="158">
        <f t="shared" si="2"/>
        <v>6633.194524999999</v>
      </c>
      <c r="G33" s="158">
        <f t="shared" si="2"/>
        <v>19121.722450000001</v>
      </c>
      <c r="H33" s="158">
        <f t="shared" si="2"/>
        <v>22660.946587500002</v>
      </c>
      <c r="I33" s="22"/>
      <c r="J33" s="25"/>
      <c r="K33" s="25"/>
    </row>
    <row r="34" spans="1:11" s="8" customFormat="1" ht="45" customHeight="1" x14ac:dyDescent="0.25">
      <c r="A34" s="86" t="s">
        <v>231</v>
      </c>
      <c r="B34" s="11" t="s">
        <v>28</v>
      </c>
      <c r="C34" s="95">
        <f>'App5. Estab Costs'!$E27</f>
        <v>190</v>
      </c>
      <c r="D34" s="95">
        <f>'App5. Estab Costs'!$E43</f>
        <v>190</v>
      </c>
      <c r="E34" s="95">
        <f>'App5. Estab Costs'!$E65</f>
        <v>190</v>
      </c>
      <c r="F34" s="95">
        <f>'App5. Estab Costs'!$E88</f>
        <v>190</v>
      </c>
      <c r="G34" s="95">
        <f>'App5. Estab Costs'!$E111</f>
        <v>190</v>
      </c>
      <c r="H34" s="95">
        <f>'App6. Full Prod Costs'!$D18</f>
        <v>190</v>
      </c>
      <c r="I34" s="7"/>
      <c r="J34" s="10"/>
      <c r="K34" s="10"/>
    </row>
    <row r="35" spans="1:11" ht="18" customHeight="1" x14ac:dyDescent="0.25">
      <c r="A35" s="38" t="s">
        <v>231</v>
      </c>
      <c r="B35" s="17" t="s">
        <v>29</v>
      </c>
      <c r="C35" s="155">
        <f>'App5. Estab Costs'!$E28</f>
        <v>120</v>
      </c>
      <c r="D35" s="155">
        <f>'App5. Estab Costs'!$E44</f>
        <v>120</v>
      </c>
      <c r="E35" s="155">
        <f>'App5. Estab Costs'!$E66</f>
        <v>120</v>
      </c>
      <c r="F35" s="155">
        <f>'App5. Estab Costs'!$E89</f>
        <v>120</v>
      </c>
      <c r="G35" s="155">
        <f>'App5. Estab Costs'!$E112</f>
        <v>120</v>
      </c>
      <c r="H35" s="155">
        <f>'App6. Full Prod Costs'!$D19</f>
        <v>120</v>
      </c>
      <c r="I35" s="22"/>
      <c r="J35" s="25"/>
      <c r="K35" s="25"/>
    </row>
    <row r="36" spans="1:11" ht="18" customHeight="1" x14ac:dyDescent="0.25">
      <c r="A36" s="38" t="s">
        <v>231</v>
      </c>
      <c r="B36" s="17" t="s">
        <v>359</v>
      </c>
      <c r="C36" s="155">
        <f>'App5. Estab Costs'!$E29</f>
        <v>425</v>
      </c>
      <c r="D36" s="155">
        <f>'App5. Estab Costs'!$E45</f>
        <v>425</v>
      </c>
      <c r="E36" s="155">
        <f>'App5. Estab Costs'!$E67</f>
        <v>425</v>
      </c>
      <c r="F36" s="155">
        <f>'App5. Estab Costs'!$E90</f>
        <v>425</v>
      </c>
      <c r="G36" s="155">
        <f>'App5. Estab Costs'!$E113</f>
        <v>425</v>
      </c>
      <c r="H36" s="155">
        <f>'App6. Full Prod Costs'!$D20</f>
        <v>425</v>
      </c>
      <c r="I36" s="22"/>
      <c r="J36" s="25"/>
      <c r="K36" s="25"/>
    </row>
    <row r="37" spans="1:11" ht="18" customHeight="1" x14ac:dyDescent="0.25">
      <c r="A37" s="157" t="s">
        <v>232</v>
      </c>
      <c r="B37" s="126" t="s">
        <v>30</v>
      </c>
      <c r="C37" s="158">
        <f t="shared" ref="C37:H37" si="3">SUM(C34:C36)</f>
        <v>735</v>
      </c>
      <c r="D37" s="158">
        <f t="shared" si="3"/>
        <v>735</v>
      </c>
      <c r="E37" s="158">
        <f t="shared" si="3"/>
        <v>735</v>
      </c>
      <c r="F37" s="158">
        <f t="shared" si="3"/>
        <v>735</v>
      </c>
      <c r="G37" s="158">
        <f t="shared" si="3"/>
        <v>735</v>
      </c>
      <c r="H37" s="158">
        <f t="shared" si="3"/>
        <v>735</v>
      </c>
      <c r="I37" s="22"/>
      <c r="J37" s="25"/>
      <c r="K37" s="25"/>
    </row>
    <row r="38" spans="1:11" ht="36" customHeight="1" x14ac:dyDescent="0.25">
      <c r="A38" s="160" t="s">
        <v>233</v>
      </c>
      <c r="B38" s="126" t="s">
        <v>31</v>
      </c>
      <c r="C38" s="158">
        <f t="shared" ref="C38:H38" si="4">C32+C37</f>
        <v>14612.999887499998</v>
      </c>
      <c r="D38" s="158">
        <f t="shared" si="4"/>
        <v>3999.7671</v>
      </c>
      <c r="E38" s="158">
        <f t="shared" si="4"/>
        <v>10509.180675</v>
      </c>
      <c r="F38" s="158">
        <f t="shared" si="4"/>
        <v>19237.805475000001</v>
      </c>
      <c r="G38" s="158">
        <f t="shared" si="4"/>
        <v>31885.277549999999</v>
      </c>
      <c r="H38" s="158">
        <f t="shared" si="4"/>
        <v>34630.053412499998</v>
      </c>
      <c r="I38" s="22"/>
      <c r="J38" s="25"/>
      <c r="K38" s="25"/>
    </row>
    <row r="39" spans="1:11" ht="18" customHeight="1" x14ac:dyDescent="0.25">
      <c r="A39" s="160" t="s">
        <v>229</v>
      </c>
      <c r="B39" s="126" t="s">
        <v>32</v>
      </c>
      <c r="C39" s="159">
        <f t="shared" ref="C39:H39" si="5">C11-C38</f>
        <v>-14612.999887499998</v>
      </c>
      <c r="D39" s="159">
        <f t="shared" si="5"/>
        <v>-3999.7671</v>
      </c>
      <c r="E39" s="159">
        <f t="shared" si="5"/>
        <v>-1083.1806749999996</v>
      </c>
      <c r="F39" s="158">
        <f t="shared" si="5"/>
        <v>5898.194524999999</v>
      </c>
      <c r="G39" s="158">
        <f t="shared" si="5"/>
        <v>18386.722450000001</v>
      </c>
      <c r="H39" s="158">
        <f t="shared" si="5"/>
        <v>21925.946587500002</v>
      </c>
      <c r="I39" s="22"/>
      <c r="J39" s="25"/>
      <c r="K39" s="25"/>
    </row>
    <row r="40" spans="1:11" s="8" customFormat="1" ht="45" customHeight="1" x14ac:dyDescent="0.25">
      <c r="A40" s="90" t="s">
        <v>33</v>
      </c>
      <c r="B40" s="11" t="s">
        <v>34</v>
      </c>
      <c r="C40" s="95">
        <f>'App4. Depreciation'!$F3</f>
        <v>127.71666666666667</v>
      </c>
      <c r="D40" s="95">
        <f>'App4. Depreciation'!$F3</f>
        <v>127.71666666666667</v>
      </c>
      <c r="E40" s="95">
        <f>'App4. Depreciation'!$F3</f>
        <v>127.71666666666667</v>
      </c>
      <c r="F40" s="95">
        <f>'App4. Depreciation'!$F3</f>
        <v>127.71666666666667</v>
      </c>
      <c r="G40" s="95">
        <f>'App4. Depreciation'!$F3</f>
        <v>127.71666666666667</v>
      </c>
      <c r="H40" s="95">
        <f>'App4. Depreciation'!$F3</f>
        <v>127.71666666666667</v>
      </c>
      <c r="I40" s="7"/>
    </row>
    <row r="41" spans="1:11" ht="18" customHeight="1" x14ac:dyDescent="0.25">
      <c r="A41" s="161" t="s">
        <v>33</v>
      </c>
      <c r="B41" s="17" t="s">
        <v>380</v>
      </c>
      <c r="C41" s="155">
        <f>'App4. Depreciation'!$F4</f>
        <v>350</v>
      </c>
      <c r="D41" s="155">
        <f>'App4. Depreciation'!$F4</f>
        <v>350</v>
      </c>
      <c r="E41" s="155">
        <f>'App4. Depreciation'!$F4</f>
        <v>350</v>
      </c>
      <c r="F41" s="155">
        <f>'App4. Depreciation'!$F4</f>
        <v>350</v>
      </c>
      <c r="G41" s="155">
        <f>'App4. Depreciation'!$F4</f>
        <v>350</v>
      </c>
      <c r="H41" s="155">
        <f>'App4. Depreciation'!$F4</f>
        <v>350</v>
      </c>
      <c r="I41" s="22"/>
    </row>
    <row r="42" spans="1:11" ht="18" customHeight="1" x14ac:dyDescent="0.25">
      <c r="A42" s="161" t="s">
        <v>33</v>
      </c>
      <c r="B42" s="17" t="s">
        <v>320</v>
      </c>
      <c r="C42" s="155">
        <f>'App4. Depreciation'!$F5</f>
        <v>0</v>
      </c>
      <c r="D42" s="155">
        <f>'App4. Depreciation'!$F5</f>
        <v>0</v>
      </c>
      <c r="E42" s="155">
        <f>'App4. Depreciation'!$F5</f>
        <v>0</v>
      </c>
      <c r="F42" s="155">
        <f>'App4. Depreciation'!$F5</f>
        <v>0</v>
      </c>
      <c r="G42" s="155">
        <f>'App4. Depreciation'!$F5</f>
        <v>0</v>
      </c>
      <c r="H42" s="155">
        <f>'App4. Depreciation'!$F5</f>
        <v>0</v>
      </c>
      <c r="I42" s="22"/>
    </row>
    <row r="43" spans="1:11" ht="18" customHeight="1" x14ac:dyDescent="0.25">
      <c r="A43" s="161" t="s">
        <v>33</v>
      </c>
      <c r="B43" s="17" t="s">
        <v>35</v>
      </c>
      <c r="C43" s="155">
        <f>'App4. Depreciation'!$F$10</f>
        <v>378.40666666666669</v>
      </c>
      <c r="D43" s="155">
        <f>'App4. Depreciation'!$F$10</f>
        <v>378.40666666666669</v>
      </c>
      <c r="E43" s="155">
        <f>'App4. Depreciation'!$F$10</f>
        <v>378.40666666666669</v>
      </c>
      <c r="F43" s="155">
        <f>'App4. Depreciation'!$F$10</f>
        <v>378.40666666666669</v>
      </c>
      <c r="G43" s="155">
        <f>'App4. Depreciation'!$F$10</f>
        <v>378.40666666666669</v>
      </c>
      <c r="H43" s="155">
        <f>'App4. Depreciation'!$F$10</f>
        <v>378.40666666666669</v>
      </c>
      <c r="I43" s="22"/>
    </row>
    <row r="44" spans="1:11" ht="18" customHeight="1" x14ac:dyDescent="0.25">
      <c r="A44" s="161" t="s">
        <v>33</v>
      </c>
      <c r="B44" s="17" t="s">
        <v>36</v>
      </c>
      <c r="C44" s="155">
        <f>'App4. Depreciation'!$F6</f>
        <v>0</v>
      </c>
      <c r="D44" s="155">
        <f>'App4. Depreciation'!$F6</f>
        <v>0</v>
      </c>
      <c r="E44" s="155">
        <f>'App4. Depreciation'!$F6</f>
        <v>0</v>
      </c>
      <c r="F44" s="155">
        <f>'App4. Depreciation'!$F6</f>
        <v>0</v>
      </c>
      <c r="G44" s="155">
        <f>'App4. Depreciation'!$F6</f>
        <v>0</v>
      </c>
      <c r="H44" s="155">
        <f>'App4. Depreciation'!$F6</f>
        <v>0</v>
      </c>
      <c r="I44" s="22"/>
    </row>
    <row r="45" spans="1:11" ht="18" customHeight="1" x14ac:dyDescent="0.25">
      <c r="A45" s="161" t="s">
        <v>33</v>
      </c>
      <c r="B45" s="17" t="s">
        <v>37</v>
      </c>
      <c r="C45" s="155">
        <f>'App4. Depreciation'!$F7</f>
        <v>0</v>
      </c>
      <c r="D45" s="155">
        <f>'App4. Depreciation'!$F7</f>
        <v>0</v>
      </c>
      <c r="E45" s="155">
        <f>'App4. Depreciation'!$F7</f>
        <v>0</v>
      </c>
      <c r="F45" s="155">
        <f>'App4. Depreciation'!$F7</f>
        <v>0</v>
      </c>
      <c r="G45" s="155">
        <f>'App4. Depreciation'!$F7</f>
        <v>0</v>
      </c>
      <c r="H45" s="155">
        <f>'App4. Depreciation'!$F7</f>
        <v>0</v>
      </c>
      <c r="I45" s="22"/>
    </row>
    <row r="46" spans="1:11" ht="18" customHeight="1" x14ac:dyDescent="0.25">
      <c r="A46" s="161" t="s">
        <v>33</v>
      </c>
      <c r="B46" s="17" t="s">
        <v>38</v>
      </c>
      <c r="C46" s="155">
        <f>'App4. Depreciation'!$F8</f>
        <v>140</v>
      </c>
      <c r="D46" s="155">
        <f>'App4. Depreciation'!$F8</f>
        <v>140</v>
      </c>
      <c r="E46" s="155">
        <f>'App4. Depreciation'!$F8</f>
        <v>140</v>
      </c>
      <c r="F46" s="155">
        <f>'App4. Depreciation'!$F8</f>
        <v>140</v>
      </c>
      <c r="G46" s="155">
        <f>'App4. Depreciation'!$F8</f>
        <v>140</v>
      </c>
      <c r="H46" s="155">
        <f>'App4. Depreciation'!$F8</f>
        <v>140</v>
      </c>
      <c r="I46" s="22"/>
    </row>
    <row r="47" spans="1:11" ht="18" customHeight="1" x14ac:dyDescent="0.25">
      <c r="A47" s="161" t="s">
        <v>33</v>
      </c>
      <c r="B47" s="17" t="s">
        <v>39</v>
      </c>
      <c r="C47" s="155">
        <f>'App4. Depreciation'!$F9</f>
        <v>131.81818181818181</v>
      </c>
      <c r="D47" s="155">
        <f>'App4. Depreciation'!$F9</f>
        <v>131.81818181818181</v>
      </c>
      <c r="E47" s="155">
        <f>'App4. Depreciation'!$F9</f>
        <v>131.81818181818181</v>
      </c>
      <c r="F47" s="155">
        <f>'App4. Depreciation'!$F9</f>
        <v>131.81818181818181</v>
      </c>
      <c r="G47" s="155">
        <f>'App4. Depreciation'!$F9</f>
        <v>131.81818181818181</v>
      </c>
      <c r="H47" s="155">
        <f>'App4. Depreciation'!$F9</f>
        <v>131.81818181818181</v>
      </c>
      <c r="I47" s="22"/>
    </row>
    <row r="48" spans="1:11" ht="18" customHeight="1" x14ac:dyDescent="0.25">
      <c r="A48" s="38" t="s">
        <v>40</v>
      </c>
      <c r="B48" s="17" t="s">
        <v>34</v>
      </c>
      <c r="C48" s="155">
        <f>'App3. Interest'!$F$3</f>
        <v>95.787500000000009</v>
      </c>
      <c r="D48" s="155">
        <f>'App3. Interest'!$F$3</f>
        <v>95.787500000000009</v>
      </c>
      <c r="E48" s="155">
        <f>'App3. Interest'!$F$3</f>
        <v>95.787500000000009</v>
      </c>
      <c r="F48" s="155">
        <f>'App3. Interest'!$F$3</f>
        <v>95.787500000000009</v>
      </c>
      <c r="G48" s="155">
        <f>'App3. Interest'!$F$3</f>
        <v>95.787500000000009</v>
      </c>
      <c r="H48" s="155">
        <f>'App3. Interest'!$F$3</f>
        <v>95.787500000000009</v>
      </c>
      <c r="I48" s="22"/>
    </row>
    <row r="49" spans="1:12" ht="18" customHeight="1" x14ac:dyDescent="0.25">
      <c r="A49" s="38" t="s">
        <v>40</v>
      </c>
      <c r="B49" s="17" t="s">
        <v>380</v>
      </c>
      <c r="C49" s="155">
        <f>'App3. Interest'!$F$4</f>
        <v>87.5</v>
      </c>
      <c r="D49" s="155">
        <f>'App3. Interest'!$F$4</f>
        <v>87.5</v>
      </c>
      <c r="E49" s="155">
        <f>'App3. Interest'!$F$4</f>
        <v>87.5</v>
      </c>
      <c r="F49" s="155">
        <f>'App3. Interest'!$F$4</f>
        <v>87.5</v>
      </c>
      <c r="G49" s="155">
        <f>'App3. Interest'!$F$4</f>
        <v>87.5</v>
      </c>
      <c r="H49" s="155">
        <f>'App3. Interest'!$F$4</f>
        <v>87.5</v>
      </c>
      <c r="I49" s="22"/>
    </row>
    <row r="50" spans="1:12" ht="18" customHeight="1" x14ac:dyDescent="0.25">
      <c r="A50" s="38" t="s">
        <v>40</v>
      </c>
      <c r="B50" s="17" t="s">
        <v>166</v>
      </c>
      <c r="C50" s="155">
        <f>'App3. Interest'!$F$5</f>
        <v>0</v>
      </c>
      <c r="D50" s="155">
        <f>'App3. Interest'!$F$5</f>
        <v>0</v>
      </c>
      <c r="E50" s="155">
        <f>'App3. Interest'!$F$5</f>
        <v>0</v>
      </c>
      <c r="F50" s="155">
        <f>'App3. Interest'!$F$5</f>
        <v>0</v>
      </c>
      <c r="G50" s="155">
        <f>'App3. Interest'!$F$5</f>
        <v>0</v>
      </c>
      <c r="H50" s="155">
        <f>'App3. Interest'!$F$5</f>
        <v>0</v>
      </c>
      <c r="I50" s="22"/>
    </row>
    <row r="51" spans="1:12" ht="18" customHeight="1" x14ac:dyDescent="0.25">
      <c r="A51" s="38" t="s">
        <v>40</v>
      </c>
      <c r="B51" s="17" t="s">
        <v>339</v>
      </c>
      <c r="C51" s="155">
        <f>'App3. Interest'!$F$6</f>
        <v>900</v>
      </c>
      <c r="D51" s="155">
        <f>'App3. Interest'!$F$6</f>
        <v>900</v>
      </c>
      <c r="E51" s="155">
        <f>'App3. Interest'!$F$6</f>
        <v>900</v>
      </c>
      <c r="F51" s="155">
        <f>'App3. Interest'!$F$6</f>
        <v>900</v>
      </c>
      <c r="G51" s="155">
        <f>'App3. Interest'!$F$6</f>
        <v>900</v>
      </c>
      <c r="H51" s="155">
        <f>'App3. Interest'!$F$6</f>
        <v>900</v>
      </c>
      <c r="I51" s="22"/>
    </row>
    <row r="52" spans="1:12" ht="18" customHeight="1" x14ac:dyDescent="0.25">
      <c r="A52" s="38" t="s">
        <v>40</v>
      </c>
      <c r="B52" s="17" t="s">
        <v>35</v>
      </c>
      <c r="C52" s="155">
        <f>'App3. Interest'!$F$7</f>
        <v>120.83166666666666</v>
      </c>
      <c r="D52" s="155">
        <f>'App3. Interest'!$F$7</f>
        <v>120.83166666666666</v>
      </c>
      <c r="E52" s="155">
        <f>'App3. Interest'!$F$7</f>
        <v>120.83166666666666</v>
      </c>
      <c r="F52" s="155">
        <f>'App3. Interest'!$F$7</f>
        <v>120.83166666666666</v>
      </c>
      <c r="G52" s="155">
        <f>'App3. Interest'!$F$7</f>
        <v>120.83166666666666</v>
      </c>
      <c r="H52" s="155">
        <f>'App3. Interest'!$F$7</f>
        <v>120.83166666666666</v>
      </c>
      <c r="I52" s="22"/>
    </row>
    <row r="53" spans="1:12" ht="18" customHeight="1" x14ac:dyDescent="0.25">
      <c r="A53" s="38" t="s">
        <v>40</v>
      </c>
      <c r="B53" s="17" t="s">
        <v>36</v>
      </c>
      <c r="C53" s="155">
        <f>'App3. Interest'!$F$8</f>
        <v>0</v>
      </c>
      <c r="D53" s="155">
        <f>'App3. Interest'!$F$8</f>
        <v>0</v>
      </c>
      <c r="E53" s="155">
        <f>'App3. Interest'!$F$8</f>
        <v>0</v>
      </c>
      <c r="F53" s="155">
        <f>'App3. Interest'!$F$8</f>
        <v>0</v>
      </c>
      <c r="G53" s="155">
        <f>'App3. Interest'!$F$8</f>
        <v>0</v>
      </c>
      <c r="H53" s="155">
        <f>'App3. Interest'!$F$8</f>
        <v>0</v>
      </c>
      <c r="I53" s="22"/>
    </row>
    <row r="54" spans="1:12" ht="18" customHeight="1" x14ac:dyDescent="0.25">
      <c r="A54" s="38" t="s">
        <v>40</v>
      </c>
      <c r="B54" s="17" t="s">
        <v>37</v>
      </c>
      <c r="C54" s="155">
        <f>'App3. Interest'!$F$9</f>
        <v>0</v>
      </c>
      <c r="D54" s="155">
        <f>'App3. Interest'!$F$9</f>
        <v>0</v>
      </c>
      <c r="E54" s="155">
        <f>'App3. Interest'!$F$9</f>
        <v>0</v>
      </c>
      <c r="F54" s="155">
        <f>'App3. Interest'!$F$9</f>
        <v>0</v>
      </c>
      <c r="G54" s="155">
        <f>'App3. Interest'!$F$9</f>
        <v>0</v>
      </c>
      <c r="H54" s="155">
        <f>'App3. Interest'!$F$9</f>
        <v>0</v>
      </c>
      <c r="I54" s="22"/>
    </row>
    <row r="55" spans="1:12" ht="18" customHeight="1" x14ac:dyDescent="0.25">
      <c r="A55" s="38" t="s">
        <v>40</v>
      </c>
      <c r="B55" s="17" t="s">
        <v>38</v>
      </c>
      <c r="C55" s="155">
        <f>'App3. Interest'!$F$10</f>
        <v>87.5</v>
      </c>
      <c r="D55" s="155">
        <f>'App3. Interest'!$F$10</f>
        <v>87.5</v>
      </c>
      <c r="E55" s="155">
        <f>'App3. Interest'!$F$10</f>
        <v>87.5</v>
      </c>
      <c r="F55" s="155">
        <f>'App3. Interest'!$F$10</f>
        <v>87.5</v>
      </c>
      <c r="G55" s="155">
        <f>'App3. Interest'!$F$10</f>
        <v>87.5</v>
      </c>
      <c r="H55" s="155">
        <f>'App3. Interest'!$F$10</f>
        <v>87.5</v>
      </c>
      <c r="I55" s="22"/>
    </row>
    <row r="56" spans="1:12" ht="18" customHeight="1" x14ac:dyDescent="0.25">
      <c r="A56" s="38" t="s">
        <v>40</v>
      </c>
      <c r="B56" s="17" t="s">
        <v>41</v>
      </c>
      <c r="C56" s="155">
        <f>'App3. Interest'!$F$11</f>
        <v>98.86363636363636</v>
      </c>
      <c r="D56" s="155">
        <f>'App3. Interest'!$F$11</f>
        <v>98.86363636363636</v>
      </c>
      <c r="E56" s="155">
        <f>'App3. Interest'!$F$11</f>
        <v>98.86363636363636</v>
      </c>
      <c r="F56" s="155">
        <f>'App3. Interest'!$F$11</f>
        <v>98.86363636363636</v>
      </c>
      <c r="G56" s="155">
        <f>'App3. Interest'!$F$11</f>
        <v>98.86363636363636</v>
      </c>
      <c r="H56" s="155">
        <f>'App3. Interest'!$F$11</f>
        <v>98.86363636363636</v>
      </c>
      <c r="I56" s="22"/>
      <c r="J56" s="25"/>
      <c r="K56" s="25"/>
      <c r="L56" s="25"/>
    </row>
    <row r="57" spans="1:12" ht="18" customHeight="1" x14ac:dyDescent="0.25">
      <c r="A57" s="38" t="s">
        <v>40</v>
      </c>
      <c r="B57" s="17" t="s">
        <v>42</v>
      </c>
      <c r="C57" s="155">
        <v>0</v>
      </c>
      <c r="D57" s="155">
        <f>C65*'App9. Data for tables'!$C$75</f>
        <v>891.57121028409097</v>
      </c>
      <c r="E57" s="155">
        <f>D65*'App9. Data for tables'!$D$75</f>
        <v>1297.0593417073865</v>
      </c>
      <c r="F57" s="155">
        <f>E65*'App9. Data for tables'!$E$75</f>
        <v>1576.9925584518469</v>
      </c>
      <c r="G57" s="155">
        <f>F65*'App9. Data for tables'!$F$75</f>
        <v>1521.8536760335301</v>
      </c>
      <c r="H57" s="155">
        <v>0</v>
      </c>
      <c r="I57" s="22"/>
      <c r="J57" s="25"/>
      <c r="K57" s="25"/>
      <c r="L57" s="25"/>
    </row>
    <row r="58" spans="1:12" ht="18" customHeight="1" x14ac:dyDescent="0.25">
      <c r="A58" s="17" t="s">
        <v>234</v>
      </c>
      <c r="B58" s="17" t="s">
        <v>43</v>
      </c>
      <c r="C58" s="155">
        <f>'App5. Estab Costs'!$E$30</f>
        <v>700</v>
      </c>
      <c r="D58" s="155">
        <f>'App5. Estab Costs'!$E$46</f>
        <v>700</v>
      </c>
      <c r="E58" s="155">
        <f>'App5. Estab Costs'!$E$68</f>
        <v>700</v>
      </c>
      <c r="F58" s="155">
        <f>'App5. Estab Costs'!$E$91</f>
        <v>700</v>
      </c>
      <c r="G58" s="155">
        <f>'App5. Estab Costs'!E114</f>
        <v>700</v>
      </c>
      <c r="H58" s="155">
        <f>'App6. Full Prod Costs'!$D$21</f>
        <v>700</v>
      </c>
      <c r="I58" s="22"/>
      <c r="J58" s="25"/>
      <c r="K58" s="25"/>
      <c r="L58" s="25"/>
    </row>
    <row r="59" spans="1:12" ht="18" customHeight="1" x14ac:dyDescent="0.25">
      <c r="A59" s="17" t="s">
        <v>234</v>
      </c>
      <c r="B59" s="17" t="s">
        <v>340</v>
      </c>
      <c r="C59" s="155">
        <v>0</v>
      </c>
      <c r="D59" s="155">
        <v>0</v>
      </c>
      <c r="E59" s="155">
        <v>0</v>
      </c>
      <c r="F59" s="155">
        <v>0</v>
      </c>
      <c r="G59" s="155">
        <v>0</v>
      </c>
      <c r="H59" s="155">
        <f>-'App8. Amort Calc'!B7</f>
        <v>1347.3235167256671</v>
      </c>
      <c r="I59" s="22"/>
      <c r="J59" s="25"/>
      <c r="K59" s="25"/>
      <c r="L59" s="25"/>
    </row>
    <row r="60" spans="1:12" ht="42.75" x14ac:dyDescent="0.25">
      <c r="A60" s="160" t="s">
        <v>235</v>
      </c>
      <c r="B60" s="126" t="s">
        <v>44</v>
      </c>
      <c r="C60" s="158">
        <f t="shared" ref="C60:G60" si="6">SUM(C40:C59)</f>
        <v>3218.4243181818183</v>
      </c>
      <c r="D60" s="158">
        <f t="shared" si="6"/>
        <v>4109.995528465909</v>
      </c>
      <c r="E60" s="158">
        <f t="shared" si="6"/>
        <v>4515.4836598892052</v>
      </c>
      <c r="F60" s="158">
        <f t="shared" si="6"/>
        <v>4795.4168766336652</v>
      </c>
      <c r="G60" s="158">
        <f t="shared" si="6"/>
        <v>4740.2779942153484</v>
      </c>
      <c r="H60" s="158">
        <f>SUM(H40:H59)</f>
        <v>4565.7478349074854</v>
      </c>
      <c r="I60" s="22"/>
      <c r="J60" s="25"/>
      <c r="K60" s="25"/>
      <c r="L60" s="25"/>
    </row>
    <row r="61" spans="1:12" s="8" customFormat="1" ht="45" customHeight="1" x14ac:dyDescent="0.25">
      <c r="A61" s="87" t="s">
        <v>229</v>
      </c>
      <c r="B61" s="88" t="s">
        <v>45</v>
      </c>
      <c r="C61" s="166">
        <f t="shared" ref="C61:H61" si="7">C11-SUM(C38,C40:C47)</f>
        <v>-15740.941402651513</v>
      </c>
      <c r="D61" s="166">
        <f t="shared" si="7"/>
        <v>-5127.708615151515</v>
      </c>
      <c r="E61" s="166">
        <f t="shared" si="7"/>
        <v>-2211.1221901515146</v>
      </c>
      <c r="F61" s="250">
        <f t="shared" si="7"/>
        <v>4770.2530098484858</v>
      </c>
      <c r="G61" s="250">
        <f t="shared" si="7"/>
        <v>17258.780934848481</v>
      </c>
      <c r="H61" s="250">
        <f t="shared" si="7"/>
        <v>20798.005072348482</v>
      </c>
      <c r="I61" s="7"/>
      <c r="J61" s="10"/>
      <c r="K61" s="10"/>
      <c r="L61" s="10"/>
    </row>
    <row r="62" spans="1:12" s="8" customFormat="1" ht="45" customHeight="1" x14ac:dyDescent="0.25">
      <c r="A62" s="89" t="s">
        <v>236</v>
      </c>
      <c r="B62" s="88" t="s">
        <v>46</v>
      </c>
      <c r="C62" s="92">
        <f t="shared" ref="C62:H62" si="8">C37+C60</f>
        <v>3953.4243181818183</v>
      </c>
      <c r="D62" s="92">
        <f t="shared" si="8"/>
        <v>4844.995528465909</v>
      </c>
      <c r="E62" s="92">
        <f t="shared" si="8"/>
        <v>5250.4836598892052</v>
      </c>
      <c r="F62" s="92">
        <f t="shared" si="8"/>
        <v>5530.4168766336652</v>
      </c>
      <c r="G62" s="92">
        <f t="shared" si="8"/>
        <v>5475.2779942153484</v>
      </c>
      <c r="H62" s="92">
        <f t="shared" si="8"/>
        <v>5300.7478349074854</v>
      </c>
      <c r="I62" s="7"/>
      <c r="J62" s="10"/>
      <c r="K62" s="10"/>
      <c r="L62" s="10"/>
    </row>
    <row r="63" spans="1:12" s="8" customFormat="1" ht="45" customHeight="1" x14ac:dyDescent="0.25">
      <c r="A63" s="87" t="s">
        <v>237</v>
      </c>
      <c r="B63" s="164" t="s">
        <v>238</v>
      </c>
      <c r="C63" s="92">
        <f t="shared" ref="C63:H63" si="9">C32+C62</f>
        <v>17831.424205681818</v>
      </c>
      <c r="D63" s="92">
        <f t="shared" si="9"/>
        <v>8109.7626284659091</v>
      </c>
      <c r="E63" s="92">
        <f t="shared" si="9"/>
        <v>15024.664334889205</v>
      </c>
      <c r="F63" s="92">
        <f t="shared" si="9"/>
        <v>24033.222351633667</v>
      </c>
      <c r="G63" s="92">
        <f t="shared" si="9"/>
        <v>36625.555544215349</v>
      </c>
      <c r="H63" s="92">
        <f t="shared" si="9"/>
        <v>39195.801247407486</v>
      </c>
      <c r="I63" s="7"/>
      <c r="J63" s="10"/>
      <c r="K63" s="10"/>
      <c r="L63" s="10"/>
    </row>
    <row r="64" spans="1:12" s="8" customFormat="1" ht="45" customHeight="1" x14ac:dyDescent="0.25">
      <c r="A64" s="89" t="s">
        <v>239</v>
      </c>
      <c r="B64" s="164" t="s">
        <v>47</v>
      </c>
      <c r="C64" s="112">
        <f t="shared" ref="C64:H64" si="10">C11-C63</f>
        <v>-17831.424205681818</v>
      </c>
      <c r="D64" s="112">
        <f t="shared" si="10"/>
        <v>-8109.7626284659091</v>
      </c>
      <c r="E64" s="112">
        <f t="shared" si="10"/>
        <v>-5598.6643348892048</v>
      </c>
      <c r="F64" s="92">
        <f t="shared" si="10"/>
        <v>1102.7776483663329</v>
      </c>
      <c r="G64" s="92">
        <f t="shared" si="10"/>
        <v>13646.444455784651</v>
      </c>
      <c r="H64" s="92">
        <f t="shared" si="10"/>
        <v>17360.198752592514</v>
      </c>
      <c r="I64" s="7"/>
      <c r="J64" s="10"/>
      <c r="K64" s="165"/>
      <c r="L64" s="10"/>
    </row>
    <row r="65" spans="1:12" s="8" customFormat="1" ht="45" customHeight="1" x14ac:dyDescent="0.25">
      <c r="A65" s="86" t="s">
        <v>240</v>
      </c>
      <c r="B65" s="11" t="s">
        <v>48</v>
      </c>
      <c r="C65" s="95">
        <f>C63-C11</f>
        <v>17831.424205681818</v>
      </c>
      <c r="D65" s="95">
        <f>SUM(C63:D63)-SUM(C11:D11)</f>
        <v>25941.186834147727</v>
      </c>
      <c r="E65" s="95">
        <f>SUM(C63:E63)-SUM(C11:E11)</f>
        <v>31539.851169036934</v>
      </c>
      <c r="F65" s="95">
        <f>SUM(C63:F63)-SUM(C11:F11)</f>
        <v>30437.073520670601</v>
      </c>
      <c r="G65" s="95">
        <f>SUM(C63:G63)-SUM(C11:G11)</f>
        <v>16790.629064885958</v>
      </c>
      <c r="H65" s="95"/>
      <c r="I65" s="7"/>
      <c r="J65" s="10"/>
      <c r="K65" s="10"/>
      <c r="L65" s="10"/>
    </row>
    <row r="66" spans="1:12" x14ac:dyDescent="0.25">
      <c r="A66" s="16" t="s">
        <v>49</v>
      </c>
      <c r="B66" s="23"/>
      <c r="C66" s="23"/>
      <c r="D66" s="23"/>
      <c r="E66" s="23"/>
      <c r="F66" s="23"/>
      <c r="G66" s="21"/>
      <c r="H66" s="22"/>
    </row>
    <row r="67" spans="1:12" s="25" customFormat="1" ht="18" customHeight="1" x14ac:dyDescent="0.25">
      <c r="A67" s="16" t="s">
        <v>321</v>
      </c>
      <c r="B67" s="23"/>
      <c r="C67" s="23"/>
      <c r="D67" s="23"/>
      <c r="E67" s="23"/>
      <c r="F67" s="23"/>
      <c r="G67" s="21"/>
      <c r="H67" s="22"/>
    </row>
    <row r="68" spans="1:12" s="25" customFormat="1" ht="18" customHeight="1" x14ac:dyDescent="0.25">
      <c r="A68" s="16" t="s">
        <v>300</v>
      </c>
      <c r="B68" s="16"/>
      <c r="C68" s="16"/>
      <c r="D68" s="16"/>
      <c r="E68" s="16"/>
      <c r="F68" s="16"/>
      <c r="G68" s="16"/>
      <c r="H68" s="16"/>
    </row>
    <row r="69" spans="1:12" ht="18" customHeight="1" x14ac:dyDescent="0.25">
      <c r="A69" s="16" t="s">
        <v>312</v>
      </c>
      <c r="B69" s="22"/>
      <c r="C69" s="22"/>
      <c r="D69" s="22"/>
      <c r="E69" s="22"/>
      <c r="F69" s="22"/>
      <c r="G69" s="22"/>
      <c r="H69" s="22"/>
    </row>
    <row r="70" spans="1:12" ht="18" customHeight="1" x14ac:dyDescent="0.25">
      <c r="A70" s="16" t="s">
        <v>323</v>
      </c>
      <c r="B70" s="22"/>
      <c r="C70" s="22"/>
      <c r="D70" s="22"/>
      <c r="E70" s="22"/>
      <c r="F70" s="22"/>
      <c r="G70" s="22"/>
      <c r="H70" s="22"/>
    </row>
    <row r="71" spans="1:12" ht="18" customHeight="1" x14ac:dyDescent="0.25">
      <c r="A71" s="16" t="s">
        <v>326</v>
      </c>
      <c r="B71" s="16"/>
      <c r="C71" s="16"/>
      <c r="D71" s="16"/>
      <c r="E71" s="16"/>
      <c r="F71" s="16"/>
      <c r="G71" s="16"/>
      <c r="H71" s="16"/>
    </row>
    <row r="72" spans="1:12" ht="18" customHeight="1" x14ac:dyDescent="0.25">
      <c r="A72" s="16" t="s">
        <v>329</v>
      </c>
      <c r="B72" s="22"/>
      <c r="C72" s="22"/>
      <c r="D72" s="22"/>
      <c r="E72" s="22"/>
      <c r="F72" s="22"/>
      <c r="G72" s="22"/>
      <c r="H72" s="22"/>
    </row>
    <row r="73" spans="1:12" ht="18" customHeight="1" x14ac:dyDescent="0.25">
      <c r="A73" s="16" t="s">
        <v>331</v>
      </c>
      <c r="B73" s="22"/>
      <c r="C73" s="22"/>
      <c r="D73" s="22"/>
      <c r="E73" s="22"/>
      <c r="F73" s="22"/>
      <c r="G73" s="22"/>
      <c r="H73" s="22"/>
    </row>
    <row r="74" spans="1:12" ht="18" customHeight="1" x14ac:dyDescent="0.25">
      <c r="A74" s="16" t="s">
        <v>463</v>
      </c>
      <c r="B74" s="16"/>
      <c r="C74" s="16"/>
      <c r="D74" s="16"/>
      <c r="E74" s="16"/>
      <c r="F74" s="16"/>
      <c r="G74" s="16"/>
      <c r="H74" s="16"/>
    </row>
    <row r="75" spans="1:12" ht="18" customHeight="1" x14ac:dyDescent="0.25">
      <c r="A75" s="212" t="s">
        <v>420</v>
      </c>
      <c r="B75" s="16"/>
      <c r="C75" s="16"/>
      <c r="D75" s="16"/>
      <c r="E75" s="16"/>
      <c r="F75" s="16"/>
      <c r="G75" s="16"/>
      <c r="H75" s="16"/>
    </row>
    <row r="76" spans="1:12" ht="18" customHeight="1" x14ac:dyDescent="0.25">
      <c r="A76" s="16" t="s">
        <v>337</v>
      </c>
      <c r="B76" s="16"/>
      <c r="C76" s="16"/>
      <c r="D76" s="16"/>
      <c r="E76" s="16"/>
      <c r="F76" s="16"/>
      <c r="G76" s="16"/>
      <c r="H76" s="16"/>
    </row>
    <row r="77" spans="1:12" ht="18" customHeight="1" x14ac:dyDescent="0.25">
      <c r="A77" s="16" t="s">
        <v>338</v>
      </c>
      <c r="B77" s="16"/>
      <c r="C77" s="16"/>
      <c r="D77" s="16"/>
      <c r="E77" s="16"/>
      <c r="F77" s="16"/>
      <c r="G77" s="16"/>
      <c r="H77" s="16"/>
    </row>
    <row r="78" spans="1:12" ht="18" customHeight="1" x14ac:dyDescent="0.25">
      <c r="A78" s="16" t="s">
        <v>342</v>
      </c>
      <c r="B78" s="25"/>
      <c r="C78" s="25"/>
      <c r="D78" s="25"/>
      <c r="E78" s="25"/>
      <c r="F78" s="25"/>
      <c r="G78" s="25"/>
      <c r="H78" s="25"/>
    </row>
    <row r="79" spans="1:12" ht="18" customHeight="1" x14ac:dyDescent="0.25">
      <c r="A79" s="138" t="s">
        <v>341</v>
      </c>
      <c r="B79" s="138"/>
      <c r="C79" s="138"/>
      <c r="D79" s="138"/>
      <c r="E79" s="138"/>
      <c r="F79" s="138"/>
      <c r="G79" s="138"/>
      <c r="H79" s="138"/>
    </row>
  </sheetData>
  <protectedRanges>
    <protectedRange sqref="D12:H13 C3:H10" name="Est Production and Price"/>
  </protectedRanges>
  <phoneticPr fontId="17" type="noConversion"/>
  <printOptions gridLines="1"/>
  <pageMargins left="0.25" right="0.25" top="0.25" bottom="0.25" header="0.3" footer="0.3"/>
  <pageSetup scale="64" orientation="portrait" r:id="rId1"/>
  <ignoredErrors>
    <ignoredError sqref="C7:C10 D7:D10 E3:H10" unlockedFormula="1"/>
  </ignoredErrors>
  <tableParts count="1">
    <tablePart r:id="rId2"/>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workbookViewId="0"/>
  </sheetViews>
  <sheetFormatPr defaultColWidth="9.140625" defaultRowHeight="15" x14ac:dyDescent="0.25"/>
  <cols>
    <col min="1" max="1" width="35.28515625" style="20" customWidth="1"/>
    <col min="2" max="2" width="14.28515625" style="78" customWidth="1"/>
    <col min="3" max="3" width="19.42578125" style="78" customWidth="1"/>
    <col min="4" max="4" width="20.7109375" style="20" customWidth="1"/>
    <col min="5" max="5" width="8.85546875" style="78" customWidth="1"/>
    <col min="6" max="11" width="9.140625" style="20"/>
    <col min="12" max="12" width="36.7109375" style="20" customWidth="1"/>
    <col min="13" max="13" width="14.7109375" style="20" customWidth="1"/>
    <col min="14" max="16384" width="9.140625" style="20"/>
  </cols>
  <sheetData>
    <row r="1" spans="1:13" s="5" customFormat="1" ht="30" customHeight="1" x14ac:dyDescent="0.3">
      <c r="A1" s="119" t="s">
        <v>451</v>
      </c>
      <c r="B1" s="141"/>
      <c r="C1" s="141"/>
      <c r="D1" s="119"/>
      <c r="E1" s="141"/>
      <c r="L1" s="142" t="s">
        <v>414</v>
      </c>
    </row>
    <row r="2" spans="1:13" ht="36.6" customHeight="1" x14ac:dyDescent="0.25">
      <c r="A2" s="69" t="s">
        <v>241</v>
      </c>
      <c r="B2" s="148" t="s">
        <v>431</v>
      </c>
      <c r="C2" s="133" t="s">
        <v>392</v>
      </c>
      <c r="D2" s="133" t="s">
        <v>390</v>
      </c>
      <c r="E2" s="134" t="s">
        <v>151</v>
      </c>
      <c r="L2" s="135" t="s">
        <v>220</v>
      </c>
      <c r="M2" s="134" t="s">
        <v>263</v>
      </c>
    </row>
    <row r="3" spans="1:13" s="5" customFormat="1" ht="18" customHeight="1" x14ac:dyDescent="0.25">
      <c r="A3" s="7" t="s">
        <v>27</v>
      </c>
      <c r="B3" s="11" t="s">
        <v>432</v>
      </c>
      <c r="C3" s="167">
        <f>(($M$3*$M$4*$M$8)/(($M$3*$M$4*$M$8)+($M$3*$M$5*$M$9)+($M$3*$M$6*$M$10)+($M$3*$M$7*$M$11)))*(((SUM('Yellow Cherry Budget'!$H$12:$H$23,'Yellow Cherry Budget'!$H$28:$H$29)+($M$12*$M$3)+($M$13*$M$3)+($M$14*$M$3)+($M$15*$M$3))*(1+$M$16))*(1+($M$17*'App9. Data for tables'!$H$76)))</f>
        <v>21737.279639143064</v>
      </c>
      <c r="D3" s="168">
        <f>C3/($M$3*$M4)</f>
        <v>2.4152532932381181</v>
      </c>
      <c r="E3" s="169" t="s">
        <v>212</v>
      </c>
      <c r="G3" s="170"/>
      <c r="L3" s="5" t="s">
        <v>393</v>
      </c>
      <c r="M3" s="220">
        <v>18000</v>
      </c>
    </row>
    <row r="4" spans="1:13" s="5" customFormat="1" ht="18" customHeight="1" x14ac:dyDescent="0.25">
      <c r="A4" s="7" t="s">
        <v>27</v>
      </c>
      <c r="B4" s="11" t="s">
        <v>433</v>
      </c>
      <c r="C4" s="167">
        <f>(($M$3*$M$5*$M$9)/(($M$3*$M$4*$M$8)+($M$3*$M$5*$M$9)+($M$3*$M$6*$M$10)+($M$3*$M$7*$M$11)))*(((SUM('Yellow Cherry Budget'!$H$12:$H$23,'Yellow Cherry Budget'!$H$28:$H$29)+($M$12*$M$3)+($M$13*$M$3)+($M$14*$M$3)+($M$15*$M$3))*(1+$M$16))*(1+($M$17*'App9. Data for tables'!$H$76)))</f>
        <v>12071.471918710218</v>
      </c>
      <c r="D4" s="170">
        <f t="shared" ref="D4:D6" si="0">C4/($M$3*$M5)</f>
        <v>2.2354577627241143</v>
      </c>
      <c r="E4" s="169" t="s">
        <v>212</v>
      </c>
      <c r="G4" s="171"/>
      <c r="L4" s="5" t="s">
        <v>404</v>
      </c>
      <c r="M4" s="221">
        <v>0.5</v>
      </c>
    </row>
    <row r="5" spans="1:13" s="5" customFormat="1" ht="18" customHeight="1" x14ac:dyDescent="0.25">
      <c r="A5" s="7" t="s">
        <v>27</v>
      </c>
      <c r="B5" s="11" t="s">
        <v>434</v>
      </c>
      <c r="C5" s="213">
        <f>IF(M6&gt;0,(($M$3*$M$6*$M$10)/(($M$3*$M$4*$M$8)+($M$3*$M$5*$M$9)+($M$3*$M$6*$M$10)+($M$3*$M$7*$M$11)))*(((SUM('Yellow Cherry Budget'!$H$12:$H$23,'Yellow Cherry Budget'!$H$28:$H$29)+($M$12*$M$3)+($M$13*$M$3)+($M$14*$M$3)+($M$15*$M$3))*(1+$M$16))*(1+($M$17*'App9. Data for tables'!$H$76))),0)</f>
        <v>0</v>
      </c>
      <c r="D5" s="214">
        <f>IF(M6&gt;0,C5/($M$3*$M6),0)</f>
        <v>0</v>
      </c>
      <c r="E5" s="169" t="s">
        <v>212</v>
      </c>
      <c r="G5" s="171"/>
      <c r="L5" s="5" t="s">
        <v>403</v>
      </c>
      <c r="M5" s="221">
        <v>0.3</v>
      </c>
    </row>
    <row r="6" spans="1:13" s="5" customFormat="1" ht="18" customHeight="1" x14ac:dyDescent="0.25">
      <c r="A6" s="172" t="s">
        <v>27</v>
      </c>
      <c r="B6" s="91" t="s">
        <v>386</v>
      </c>
      <c r="C6" s="173">
        <f>(($M$3*$M$7*$M$11)/(($M$3*$M$4*$M$8)+($M$3*$M$5*$M$9)+($M$3*$M$6*$M$10)+($M$3*$M$7*$M$11)))*(((SUM('Yellow Cherry Budget'!$H$12:$H$23,'Yellow Cherry Budget'!$H$28:$H$29)+($M$12*$M$3)+($M$13*$M$3)+($M$14*$M$3)+($M$15*$M$3))*(1+$M$16))*(1+($M$17*'App9. Data for tables'!$H$76)))</f>
        <v>86.301854646721836</v>
      </c>
      <c r="D6" s="174">
        <f t="shared" si="0"/>
        <v>2.3972737401867176E-2</v>
      </c>
      <c r="E6" s="175" t="s">
        <v>212</v>
      </c>
      <c r="G6" s="171"/>
      <c r="L6" s="5" t="s">
        <v>405</v>
      </c>
      <c r="M6" s="221">
        <v>0</v>
      </c>
    </row>
    <row r="7" spans="1:13" s="5" customFormat="1" ht="18" customHeight="1" x14ac:dyDescent="0.25">
      <c r="A7" s="7" t="s">
        <v>387</v>
      </c>
      <c r="B7" s="11" t="s">
        <v>432</v>
      </c>
      <c r="C7" s="167">
        <f>(($M$3*$M$4*$M$8)/(($M$3*$M$4*$M$8)+($M$3*$M$5*$M$9)+($M$3*$M$6*$M$10)+($M$3*$M$7*$M$11)))*((((SUM('Yellow Cherry Budget'!$H$12:$H$23,'Yellow Cherry Budget'!$H$28:$H$29)+($M$12*$M$3)+($M$13*$M$3)+($M$14*$M$3)+($M$15*$M$3))*(1+$M$16))*(1+($M$17*'App9. Data for tables'!$H$76)))+'Yellow Cherry Budget'!$H$37)</f>
        <v>22208.643420174252</v>
      </c>
      <c r="D7" s="170">
        <f>C7/($M$3*$M4)</f>
        <v>2.4676270466860282</v>
      </c>
      <c r="E7" s="169" t="s">
        <v>50</v>
      </c>
      <c r="F7" s="176"/>
      <c r="G7" s="177"/>
      <c r="H7" s="176"/>
      <c r="I7" s="176"/>
      <c r="J7" s="176"/>
      <c r="K7" s="176"/>
      <c r="L7" s="5" t="s">
        <v>406</v>
      </c>
      <c r="M7" s="221">
        <v>0.2</v>
      </c>
    </row>
    <row r="8" spans="1:13" s="5" customFormat="1" ht="18" customHeight="1" x14ac:dyDescent="0.25">
      <c r="A8" s="7" t="s">
        <v>387</v>
      </c>
      <c r="B8" s="11" t="s">
        <v>433</v>
      </c>
      <c r="C8" s="167">
        <f>(($M$3*$M$5*$M$9)/(($M$3*$M$4*$M$8)+($M$3*$M$5*$M$9)+($M$3*$M$6*$M$10)+($M$3*$M$7*$M$11)))*((((SUM('Yellow Cherry Budget'!$H$12:$H$23,'Yellow Cherry Budget'!$H$28:$H$29)+($M$12*$M$3)+($M$13*$M$3)+($M$14*$M$3)+($M$15*$M$3))*(1+$M$16))*(1+($M$17*'App9. Data for tables'!$H$76)))+'Yellow Cherry Budget'!$H$37)</f>
        <v>12333.236718200988</v>
      </c>
      <c r="D8" s="170">
        <f t="shared" ref="D8:D10" si="1">C8/($M$3*$M5)</f>
        <v>2.2839327255927753</v>
      </c>
      <c r="E8" s="169" t="s">
        <v>50</v>
      </c>
      <c r="F8" s="176"/>
      <c r="G8" s="177"/>
      <c r="H8" s="176"/>
      <c r="I8" s="176"/>
      <c r="J8" s="176"/>
      <c r="K8" s="176"/>
      <c r="L8" s="5" t="s">
        <v>394</v>
      </c>
      <c r="M8" s="222">
        <v>4.03</v>
      </c>
    </row>
    <row r="9" spans="1:13" s="5" customFormat="1" ht="18" customHeight="1" x14ac:dyDescent="0.25">
      <c r="A9" s="7" t="s">
        <v>387</v>
      </c>
      <c r="B9" s="11" t="s">
        <v>434</v>
      </c>
      <c r="C9" s="213">
        <f>IF(M6&gt;0,(($M$3*$M$6*$M$10)/(($M$3*$M$4*$M$8)+($M$3*$M$5*$M$9)+($M$3*$M$6*$M$10)+($M$3*$M$7*$M$11)))*((((SUM('Yellow Cherry Budget'!$H$12:$H$23,'Yellow Cherry Budget'!$H$28:$H$29)+($M$12*$M$3)+($M$13*$M$3)+($M$14*$M$3)+($M$15*$M$3))*(1+$M$16))*(1+($M$17*'App9. Data for tables'!$H$76)))+'Yellow Cherry Budget'!$H$37),0)</f>
        <v>0</v>
      </c>
      <c r="D9" s="214">
        <f>IF(M6&gt;0,C9/($M$3*$M6),0)</f>
        <v>0</v>
      </c>
      <c r="E9" s="169" t="s">
        <v>50</v>
      </c>
      <c r="F9" s="176"/>
      <c r="G9" s="177"/>
      <c r="H9" s="176"/>
      <c r="I9" s="176"/>
      <c r="J9" s="176"/>
      <c r="K9" s="176"/>
      <c r="L9" s="5" t="s">
        <v>395</v>
      </c>
      <c r="M9" s="222">
        <v>3.73</v>
      </c>
    </row>
    <row r="10" spans="1:13" s="5" customFormat="1" ht="18" customHeight="1" x14ac:dyDescent="0.25">
      <c r="A10" s="172" t="s">
        <v>387</v>
      </c>
      <c r="B10" s="91" t="s">
        <v>386</v>
      </c>
      <c r="C10" s="173">
        <f>(($M$3*$M$7*$M$11)/(($M$3*$M$4*$M$8)+($M$3*$M$5*$M$9)+($M$3*$M$6*$M$10)+($M$3*$M$7*$M$11)))*((((SUM('Yellow Cherry Budget'!$H$12:$H$23,'Yellow Cherry Budget'!$H$28:$H$29)+($M$12*$M$3)+($M$13*$M$3)+($M$14*$M$3)+($M$15*$M$3))*(1+$M$16))*(1+($M$17*'App9. Data for tables'!$H$76)))+'Yellow Cherry Budget'!$H$37)</f>
        <v>88.173274124761306</v>
      </c>
      <c r="D10" s="174">
        <f t="shared" si="1"/>
        <v>2.4492576145767029E-2</v>
      </c>
      <c r="E10" s="175" t="s">
        <v>50</v>
      </c>
      <c r="F10" s="176"/>
      <c r="G10" s="177"/>
      <c r="H10" s="176"/>
      <c r="I10" s="176"/>
      <c r="J10" s="176"/>
      <c r="K10" s="176"/>
      <c r="L10" s="5" t="s">
        <v>396</v>
      </c>
      <c r="M10" s="222">
        <v>0</v>
      </c>
    </row>
    <row r="11" spans="1:13" s="5" customFormat="1" ht="18" customHeight="1" x14ac:dyDescent="0.25">
      <c r="A11" s="131" t="s">
        <v>388</v>
      </c>
      <c r="B11" s="11" t="s">
        <v>432</v>
      </c>
      <c r="C11" s="167">
        <f>(($M$3*$M$4*$M$8)/(($M$3*$M$4*$M$8)+($M$3*$M$5*$M$9)+($M$3*$M$6*$M$10)+($M$3*$M$7*$M$11)))*((((SUM('Yellow Cherry Budget'!$H$12:$H$23,'Yellow Cherry Budget'!$H$28:$H$29)+($M$12*$M$3)+($M$13*$M$3)+($M$14*$M$3)+($M$15*$M$3))*(1+$M$16))*(1+($M$17*'App9. Data for tables'!$H$76)))+'Yellow Cherry Budget'!$H$37+SUM('Yellow Cherry Budget'!$H$40:$H$47))</f>
        <v>22932.005022029854</v>
      </c>
      <c r="D11" s="168">
        <f>C11/($M$3*$M4)</f>
        <v>2.5480005580033174</v>
      </c>
      <c r="E11" s="169" t="s">
        <v>51</v>
      </c>
      <c r="F11" s="176"/>
      <c r="G11" s="177"/>
      <c r="H11" s="176"/>
      <c r="I11" s="176"/>
      <c r="J11" s="176"/>
      <c r="K11" s="176"/>
      <c r="L11" s="5" t="s">
        <v>397</v>
      </c>
      <c r="M11" s="222">
        <v>0.04</v>
      </c>
    </row>
    <row r="12" spans="1:13" s="5" customFormat="1" ht="18" customHeight="1" x14ac:dyDescent="0.25">
      <c r="A12" s="131" t="s">
        <v>388</v>
      </c>
      <c r="B12" s="11" t="s">
        <v>433</v>
      </c>
      <c r="C12" s="167">
        <f>(($M$3*$M$5*$M$9)/(($M$3*$M$4*$M$8)+($M$3*$M$5*$M$9)+($M$3*$M$6*$M$10)+($M$3*$M$7*$M$11)))*((((SUM('Yellow Cherry Budget'!$H$12:$H$23,'Yellow Cherry Budget'!$H$28:$H$29)+($M$12*$M$3)+($M$13*$M$3)+($M$14*$M$3)+($M$15*$M$3))*(1+$M$16))*(1+($M$17*'App9. Data for tables'!$H$76)))+'Yellow Cherry Budget'!$H$37+SUM('Yellow Cherry Budget'!$H$40:$H$47))</f>
        <v>12734.944724392759</v>
      </c>
      <c r="D12" s="170">
        <f t="shared" ref="D12:D14" si="2">C12/($M$3*$M5)</f>
        <v>2.35832309710977</v>
      </c>
      <c r="E12" s="169" t="s">
        <v>51</v>
      </c>
      <c r="F12" s="176"/>
      <c r="G12" s="177"/>
      <c r="H12" s="176"/>
      <c r="I12" s="176"/>
      <c r="J12" s="176"/>
      <c r="K12" s="176"/>
      <c r="L12" s="5" t="s">
        <v>398</v>
      </c>
      <c r="M12" s="222">
        <v>0.33</v>
      </c>
    </row>
    <row r="13" spans="1:13" s="5" customFormat="1" ht="18" customHeight="1" x14ac:dyDescent="0.25">
      <c r="A13" s="131" t="s">
        <v>388</v>
      </c>
      <c r="B13" s="11" t="s">
        <v>434</v>
      </c>
      <c r="C13" s="213">
        <f>IF(M6&gt;0,(($M$3*$M$6*$M$10)/(($M$3*$M$4*$M$8)+($M$3*$M$5*$M$9)+($M$3*$M$6*$M$10)+($M$3*$M$7*$M$11)))*((((SUM('Yellow Cherry Budget'!$H$12:$H$23,'Yellow Cherry Budget'!$H$28:$H$29)+($M$12*$M$3)+($M$13*$M$3)+($M$14*$M$3)+($M$15*$M$3))*(1+$M$16))*(1+($M$17*'App9. Data for tables'!$H$76)))+'Yellow Cherry Budget'!$H$37+SUM('Yellow Cherry Budget'!$H$40:$H$47)),0)</f>
        <v>0</v>
      </c>
      <c r="D13" s="214">
        <f>IF(M6&gt;0,C13/($M$3*$M6),0)</f>
        <v>0</v>
      </c>
      <c r="E13" s="169" t="s">
        <v>51</v>
      </c>
      <c r="F13" s="176"/>
      <c r="G13" s="177"/>
      <c r="H13" s="176"/>
      <c r="I13" s="176"/>
      <c r="J13" s="176"/>
      <c r="K13" s="178"/>
      <c r="L13" s="5" t="s">
        <v>407</v>
      </c>
      <c r="M13" s="222">
        <v>0.15</v>
      </c>
    </row>
    <row r="14" spans="1:13" s="5" customFormat="1" ht="18" customHeight="1" x14ac:dyDescent="0.25">
      <c r="A14" s="179" t="s">
        <v>388</v>
      </c>
      <c r="B14" s="91" t="s">
        <v>386</v>
      </c>
      <c r="C14" s="173">
        <f>(($M$3*$M$7*$M$11)/(($M$3*$M$4*$M$8)+($M$3*$M$5*$M$9)+($M$3*$M$6*$M$10)+($M$3*$M$7*$M$11)))*((((SUM('Yellow Cherry Budget'!$H$12:$H$23,'Yellow Cherry Budget'!$H$28:$H$29)+($M$12*$M$3)+($M$13*$M$3)+($M$14*$M$3)+($M$15*$M$3))*(1+$M$16))*(1+($M$17*'App9. Data for tables'!$H$76)))+'Yellow Cherry Budget'!$H$37+SUM('Yellow Cherry Budget'!$H$40:$H$47))</f>
        <v>91.045181228902649</v>
      </c>
      <c r="D14" s="174">
        <f t="shared" si="2"/>
        <v>2.5290328119139626E-2</v>
      </c>
      <c r="E14" s="175" t="s">
        <v>51</v>
      </c>
      <c r="F14" s="176"/>
      <c r="G14" s="177"/>
      <c r="H14" s="176"/>
      <c r="I14" s="176"/>
      <c r="J14" s="176"/>
      <c r="K14" s="176"/>
      <c r="L14" s="5" t="s">
        <v>399</v>
      </c>
      <c r="M14" s="222">
        <v>0.05</v>
      </c>
    </row>
    <row r="15" spans="1:13" s="5" customFormat="1" ht="18" customHeight="1" x14ac:dyDescent="0.25">
      <c r="A15" s="7" t="s">
        <v>389</v>
      </c>
      <c r="B15" s="11" t="s">
        <v>432</v>
      </c>
      <c r="C15" s="167">
        <f>(($M$3*$M$4*$M$8)/(($M$3*$M$4*$M$8)+($M$3*$M$5*$M$9)+($M$3*$M$6*$M$10)+($M$3*$M$7*$M$11)))*((((SUM('Yellow Cherry Budget'!$H$12:$H$23,'Yellow Cherry Budget'!$H$28:$H$29)+($M$12*$M$3)+($M$13*$M$3)+($M$14*$M$3)+($M$15*$M$3))*(1+$M$16))*(1+($M$17*'App9. Data for tables'!$H$76)))+'Yellow Cherry Budget'!$H$37+SUM('Yellow Cherry Budget'!$H$40:$H$59))</f>
        <v>25136.708947653118</v>
      </c>
      <c r="D15" s="168">
        <f>C15/($M$3*$M4)</f>
        <v>2.7929676608503464</v>
      </c>
      <c r="E15" s="169" t="s">
        <v>53</v>
      </c>
      <c r="F15" s="176"/>
      <c r="G15" s="177"/>
      <c r="H15" s="176"/>
      <c r="I15" s="176"/>
      <c r="J15" s="176"/>
      <c r="K15" s="176"/>
      <c r="L15" s="5" t="s">
        <v>402</v>
      </c>
      <c r="M15" s="222">
        <v>0.9</v>
      </c>
    </row>
    <row r="16" spans="1:13" s="5" customFormat="1" ht="18" customHeight="1" x14ac:dyDescent="0.25">
      <c r="A16" s="7" t="s">
        <v>389</v>
      </c>
      <c r="B16" s="11" t="s">
        <v>433</v>
      </c>
      <c r="C16" s="167">
        <f>(($M$3*$M$5*$M$9)/(($M$3*$M$4*$M$8)+($M$3*$M$5*$M$9)+($M$3*$M$6*$M$10)+($M$3*$M$7*$M$11)))*((((SUM('Yellow Cherry Budget'!$H$12:$H$23,'Yellow Cherry Budget'!$H$28:$H$29)+($M$12*$M$3)+($M$13*$M$3)+($M$14*$M$3)+($M$15*$M$3))*(1+$M$16))*(1+($M$17*'App9. Data for tables'!$H$76)))+'Yellow Cherry Budget'!$H$37+SUM('Yellow Cherry Budget'!$H$40:$H$59))</f>
        <v>13959.293951575106</v>
      </c>
      <c r="D16" s="170">
        <f t="shared" ref="D16:D18" si="3">C16/($M$3*$M5)</f>
        <v>2.5850544354768714</v>
      </c>
      <c r="E16" s="169" t="s">
        <v>53</v>
      </c>
      <c r="F16" s="176"/>
      <c r="G16" s="177"/>
      <c r="H16" s="176"/>
      <c r="I16" s="176"/>
      <c r="J16" s="176"/>
      <c r="K16" s="180"/>
      <c r="L16" s="5" t="s">
        <v>401</v>
      </c>
      <c r="M16" s="221">
        <v>0.05</v>
      </c>
    </row>
    <row r="17" spans="1:13" s="5" customFormat="1" ht="18" customHeight="1" x14ac:dyDescent="0.25">
      <c r="A17" s="7" t="s">
        <v>389</v>
      </c>
      <c r="B17" s="11" t="s">
        <v>434</v>
      </c>
      <c r="C17" s="213">
        <f>IF(M6&gt;0,(($M$3*$M$6*$M$10)/(($M$3*$M$4*$M$8)+($M$3*$M$5*$M$9)+($M$3*$M$6*$M$10)+($M$3*$M$7*$M$11)))*((((SUM('Yellow Cherry Budget'!$H$12:$H$23,'Yellow Cherry Budget'!$H$28:$H$29)+($M$12*$M$3)+($M$13*$M$3)+($M$14*$M$3)+($M$15*$M$3))*(1+$M$16))*(1+($M$17*'App9. Data for tables'!$H$76)))+'Yellow Cherry Budget'!$H$37+SUM('Yellow Cherry Budget'!$H$40:$H$59)),0)</f>
        <v>0</v>
      </c>
      <c r="D17" s="214">
        <f>IF(M6&gt;0,C17/($M$3*$M6),0)</f>
        <v>0</v>
      </c>
      <c r="E17" s="169" t="s">
        <v>53</v>
      </c>
      <c r="F17" s="176"/>
      <c r="G17" s="177"/>
      <c r="H17" s="176"/>
      <c r="I17" s="176"/>
      <c r="J17" s="176"/>
      <c r="K17" s="176"/>
      <c r="L17" s="5" t="s">
        <v>400</v>
      </c>
      <c r="M17" s="223">
        <v>0.05</v>
      </c>
    </row>
    <row r="18" spans="1:13" s="5" customFormat="1" ht="18" customHeight="1" x14ac:dyDescent="0.25">
      <c r="A18" s="7" t="s">
        <v>389</v>
      </c>
      <c r="B18" s="11" t="s">
        <v>386</v>
      </c>
      <c r="C18" s="167">
        <f>(($M$3*$M$7*$M$11)/(($M$3*$M$4*$M$8)+($M$3*$M$5*$M$9)+($M$3*$M$6*$M$10)+($M$3*$M$7*$M$11)))*((((SUM('Yellow Cherry Budget'!$H$12:$H$23,'Yellow Cherry Budget'!$H$28:$H$29)+($M$12*$M$3)+($M$13*$M$3)+($M$14*$M$3)+($M$15*$M$3))*(1+$M$16))*(1+($M$17*'App9. Data for tables'!$H$76)))+'Yellow Cherry Budget'!$H$37+SUM('Yellow Cherry Budget'!$H$40:$H$59))</f>
        <v>99.798348179267961</v>
      </c>
      <c r="D18" s="174">
        <f t="shared" si="3"/>
        <v>2.7721763383129989E-2</v>
      </c>
      <c r="E18" s="169" t="s">
        <v>53</v>
      </c>
      <c r="F18" s="176"/>
      <c r="G18" s="177"/>
      <c r="H18" s="176"/>
      <c r="I18" s="176"/>
      <c r="J18" s="176"/>
      <c r="K18" s="176"/>
      <c r="L18" s="181" t="s">
        <v>409</v>
      </c>
    </row>
    <row r="19" spans="1:13" s="5" customFormat="1" ht="18" customHeight="1" x14ac:dyDescent="0.25">
      <c r="A19" s="7" t="s">
        <v>421</v>
      </c>
      <c r="B19" s="11"/>
      <c r="C19" s="167"/>
      <c r="D19" s="170"/>
      <c r="E19" s="169"/>
      <c r="L19" s="181" t="s">
        <v>408</v>
      </c>
    </row>
    <row r="20" spans="1:13" s="5" customFormat="1" ht="18" customHeight="1" x14ac:dyDescent="0.25">
      <c r="A20" s="11" t="s">
        <v>422</v>
      </c>
      <c r="B20" s="11"/>
      <c r="C20" s="167"/>
      <c r="D20" s="170"/>
      <c r="E20" s="169"/>
      <c r="L20" s="181"/>
    </row>
    <row r="21" spans="1:13" s="5" customFormat="1" ht="18" customHeight="1" x14ac:dyDescent="0.25">
      <c r="A21" s="11" t="s">
        <v>423</v>
      </c>
      <c r="B21" s="11"/>
      <c r="C21" s="167"/>
      <c r="D21" s="170"/>
      <c r="E21" s="169"/>
      <c r="L21" s="181"/>
    </row>
    <row r="22" spans="1:13" s="5" customFormat="1" ht="18" customHeight="1" x14ac:dyDescent="0.25">
      <c r="A22" s="100" t="s">
        <v>454</v>
      </c>
      <c r="B22" s="11"/>
      <c r="C22" s="167"/>
      <c r="D22" s="170"/>
      <c r="E22" s="169"/>
      <c r="L22" s="181"/>
    </row>
    <row r="23" spans="1:13" s="5" customFormat="1" ht="18" customHeight="1" x14ac:dyDescent="0.25">
      <c r="A23" s="11" t="s">
        <v>453</v>
      </c>
      <c r="B23" s="11"/>
      <c r="C23" s="167"/>
      <c r="D23" s="170"/>
      <c r="E23" s="169"/>
      <c r="L23" s="181"/>
    </row>
    <row r="24" spans="1:13" s="5" customFormat="1" ht="18" customHeight="1" x14ac:dyDescent="0.25">
      <c r="A24" s="181" t="s">
        <v>415</v>
      </c>
      <c r="B24" s="181"/>
      <c r="C24" s="181"/>
      <c r="D24" s="181"/>
      <c r="E24" s="181"/>
      <c r="F24" s="182"/>
      <c r="G24" s="182"/>
      <c r="H24" s="182"/>
      <c r="I24" s="182"/>
      <c r="J24" s="182"/>
    </row>
    <row r="25" spans="1:13" s="5" customFormat="1" ht="18" customHeight="1" x14ac:dyDescent="0.25">
      <c r="A25" s="181" t="s">
        <v>391</v>
      </c>
      <c r="B25" s="181"/>
      <c r="C25" s="181"/>
      <c r="D25" s="181"/>
      <c r="E25" s="181"/>
    </row>
    <row r="26" spans="1:13" s="5" customFormat="1" ht="18" customHeight="1" x14ac:dyDescent="0.25">
      <c r="A26" s="181" t="s">
        <v>213</v>
      </c>
      <c r="B26" s="181"/>
      <c r="C26" s="181"/>
      <c r="D26" s="181"/>
      <c r="E26" s="181"/>
    </row>
    <row r="27" spans="1:13" s="5" customFormat="1" ht="18" customHeight="1" x14ac:dyDescent="0.25">
      <c r="A27" s="181" t="s">
        <v>214</v>
      </c>
      <c r="B27" s="181"/>
      <c r="C27" s="181"/>
      <c r="D27" s="181"/>
      <c r="E27" s="181"/>
      <c r="F27" s="176"/>
      <c r="G27" s="176"/>
      <c r="H27" s="176"/>
      <c r="I27" s="176"/>
      <c r="J27" s="176"/>
      <c r="K27" s="176"/>
    </row>
    <row r="28" spans="1:13" s="5" customFormat="1" ht="18" customHeight="1" x14ac:dyDescent="0.25">
      <c r="A28" s="181" t="s">
        <v>215</v>
      </c>
      <c r="B28" s="181"/>
      <c r="C28" s="181"/>
      <c r="D28" s="181"/>
      <c r="E28" s="181"/>
      <c r="F28" s="176"/>
      <c r="G28" s="176"/>
      <c r="H28" s="176"/>
      <c r="I28" s="176"/>
      <c r="J28" s="176"/>
      <c r="K28" s="176"/>
    </row>
    <row r="29" spans="1:13" s="5" customFormat="1" ht="18" customHeight="1" x14ac:dyDescent="0.25">
      <c r="A29" s="181" t="s">
        <v>482</v>
      </c>
      <c r="B29" s="181"/>
      <c r="C29" s="181"/>
      <c r="D29" s="181"/>
      <c r="E29" s="181"/>
    </row>
    <row r="30" spans="1:13" s="5" customFormat="1" ht="18" customHeight="1" x14ac:dyDescent="0.25">
      <c r="A30" s="181" t="s">
        <v>216</v>
      </c>
      <c r="B30" s="181"/>
      <c r="C30" s="181"/>
      <c r="D30" s="181"/>
      <c r="E30" s="181"/>
      <c r="F30" s="176"/>
      <c r="G30" s="176"/>
      <c r="H30" s="176"/>
      <c r="I30" s="176"/>
      <c r="J30" s="176"/>
      <c r="K30" s="176"/>
    </row>
    <row r="31" spans="1:13" x14ac:dyDescent="0.25">
      <c r="A31" s="29"/>
    </row>
    <row r="32" spans="1:13" x14ac:dyDescent="0.25">
      <c r="A32" s="30"/>
    </row>
    <row r="33" spans="1:1" x14ac:dyDescent="0.25">
      <c r="A33" s="29"/>
    </row>
  </sheetData>
  <pageMargins left="0.7" right="0.7" top="0.75" bottom="0.75" header="0.3" footer="0.3"/>
  <pageSetup orientation="portrait" r:id="rId1"/>
  <ignoredErrors>
    <ignoredError sqref="D5:D17" formula="1"/>
  </ignoredError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workbookViewId="0">
      <selection activeCell="A2" sqref="A2"/>
    </sheetView>
  </sheetViews>
  <sheetFormatPr defaultColWidth="9.140625" defaultRowHeight="15" x14ac:dyDescent="0.25"/>
  <cols>
    <col min="1" max="1" width="26.42578125" style="18" customWidth="1"/>
    <col min="2" max="2" width="13.7109375" style="18" customWidth="1"/>
    <col min="3" max="6" width="12.7109375" style="18" customWidth="1"/>
    <col min="7" max="7" width="20.28515625" style="18" customWidth="1"/>
    <col min="8" max="8" width="3.7109375" style="18" customWidth="1"/>
    <col min="9" max="14" width="9.140625" style="31"/>
    <col min="15" max="16384" width="9.140625" style="18"/>
  </cols>
  <sheetData>
    <row r="1" spans="1:14" s="1" customFormat="1" ht="30" customHeight="1" x14ac:dyDescent="0.3">
      <c r="A1" s="251" t="s">
        <v>455</v>
      </c>
      <c r="B1" s="251"/>
      <c r="C1" s="251"/>
      <c r="D1" s="251"/>
      <c r="E1" s="251"/>
      <c r="F1" s="251"/>
      <c r="G1" s="251"/>
      <c r="I1" s="137"/>
      <c r="J1" s="137"/>
      <c r="K1" s="137"/>
      <c r="L1" s="137"/>
      <c r="M1" s="137"/>
      <c r="N1" s="137"/>
    </row>
    <row r="2" spans="1:14" ht="50.45" customHeight="1" x14ac:dyDescent="0.25">
      <c r="A2" s="69" t="s">
        <v>242</v>
      </c>
      <c r="B2" s="85" t="s">
        <v>15</v>
      </c>
      <c r="C2" s="85" t="s">
        <v>16</v>
      </c>
      <c r="D2" s="85" t="s">
        <v>17</v>
      </c>
      <c r="E2" s="85" t="s">
        <v>18</v>
      </c>
      <c r="F2" s="85" t="s">
        <v>19</v>
      </c>
      <c r="G2" s="70" t="s">
        <v>343</v>
      </c>
      <c r="H2" s="32"/>
      <c r="N2" s="18"/>
    </row>
    <row r="3" spans="1:14" s="1" customFormat="1" ht="18" customHeight="1" x14ac:dyDescent="0.25">
      <c r="A3" s="12" t="s">
        <v>464</v>
      </c>
      <c r="B3" s="183">
        <f>'App5. Estab Costs'!$G$3</f>
        <v>216000</v>
      </c>
      <c r="C3" s="215">
        <v>0</v>
      </c>
      <c r="D3" s="215">
        <v>0</v>
      </c>
      <c r="E3" s="215">
        <v>0</v>
      </c>
      <c r="F3" s="215">
        <v>0</v>
      </c>
      <c r="G3" s="215">
        <v>0</v>
      </c>
      <c r="I3" s="137"/>
      <c r="J3" s="137"/>
      <c r="K3" s="137"/>
      <c r="L3" s="137"/>
      <c r="M3" s="137"/>
      <c r="N3" s="137"/>
    </row>
    <row r="4" spans="1:14" s="1" customFormat="1" ht="18" customHeight="1" x14ac:dyDescent="0.25">
      <c r="A4" s="12" t="s">
        <v>14</v>
      </c>
      <c r="B4" s="183">
        <f>'App5. Estab Costs'!$G$10</f>
        <v>38500</v>
      </c>
      <c r="C4" s="215">
        <v>0</v>
      </c>
      <c r="D4" s="215">
        <v>0</v>
      </c>
      <c r="E4" s="215">
        <v>0</v>
      </c>
      <c r="F4" s="215">
        <v>0</v>
      </c>
      <c r="G4" s="215">
        <v>0</v>
      </c>
      <c r="I4" s="137"/>
      <c r="J4" s="137"/>
      <c r="K4" s="137"/>
      <c r="L4" s="137"/>
      <c r="M4" s="137"/>
      <c r="N4" s="137"/>
    </row>
    <row r="5" spans="1:14" s="1" customFormat="1" ht="18" customHeight="1" x14ac:dyDescent="0.25">
      <c r="A5" s="12" t="s">
        <v>381</v>
      </c>
      <c r="B5" s="215">
        <v>0</v>
      </c>
      <c r="C5" s="215">
        <v>0</v>
      </c>
      <c r="D5" s="216">
        <f>IF('App5. Estab Costs'!$G$47&gt;0,'App5. Estab Costs'!$G$47,0)</f>
        <v>38500</v>
      </c>
      <c r="E5" s="215">
        <v>0</v>
      </c>
      <c r="F5" s="215">
        <v>0</v>
      </c>
      <c r="G5" s="215">
        <v>0</v>
      </c>
      <c r="I5" s="137"/>
      <c r="J5" s="137"/>
      <c r="K5" s="137"/>
      <c r="L5" s="137"/>
      <c r="M5" s="137"/>
      <c r="N5" s="137"/>
    </row>
    <row r="6" spans="1:14" s="1" customFormat="1" ht="18" customHeight="1" x14ac:dyDescent="0.25">
      <c r="A6" s="184" t="s">
        <v>166</v>
      </c>
      <c r="B6" s="215">
        <v>0</v>
      </c>
      <c r="C6" s="215">
        <v>0</v>
      </c>
      <c r="D6" s="216">
        <f>IF('App5. Estab Costs'!$G$49&gt;0,'App5. Estab Costs'!$G$49,0)</f>
        <v>0</v>
      </c>
      <c r="E6" s="215">
        <v>0</v>
      </c>
      <c r="F6" s="215">
        <v>0</v>
      </c>
      <c r="G6" s="215">
        <v>0</v>
      </c>
      <c r="I6" s="137"/>
      <c r="J6" s="137"/>
      <c r="K6" s="137"/>
      <c r="L6" s="137"/>
      <c r="M6" s="137"/>
      <c r="N6" s="137"/>
    </row>
    <row r="7" spans="1:14" s="1" customFormat="1" ht="18" customHeight="1" x14ac:dyDescent="0.25">
      <c r="A7" s="12" t="s">
        <v>34</v>
      </c>
      <c r="B7" s="183">
        <f>'App5. Estab Costs'!$G$11+'App5. Estab Costs'!$G$12</f>
        <v>42146.5</v>
      </c>
      <c r="C7" s="215">
        <v>0</v>
      </c>
      <c r="D7" s="215">
        <v>0</v>
      </c>
      <c r="E7" s="215">
        <v>0</v>
      </c>
      <c r="F7" s="215">
        <v>0</v>
      </c>
      <c r="G7" s="215">
        <v>0</v>
      </c>
      <c r="I7" s="137"/>
      <c r="J7" s="137"/>
      <c r="K7" s="137"/>
      <c r="L7" s="137"/>
      <c r="M7" s="137"/>
      <c r="N7" s="137"/>
    </row>
    <row r="8" spans="1:14" s="1" customFormat="1" ht="18" customHeight="1" x14ac:dyDescent="0.25">
      <c r="A8" s="12" t="s">
        <v>36</v>
      </c>
      <c r="B8" s="183">
        <f>'App5. Estab Costs'!$G$13</f>
        <v>0</v>
      </c>
      <c r="C8" s="215">
        <v>0</v>
      </c>
      <c r="D8" s="215">
        <v>0</v>
      </c>
      <c r="E8" s="215">
        <v>0</v>
      </c>
      <c r="F8" s="215">
        <v>0</v>
      </c>
      <c r="G8" s="215">
        <v>0</v>
      </c>
      <c r="I8" s="137"/>
      <c r="J8" s="137"/>
      <c r="K8" s="137"/>
      <c r="L8" s="137"/>
      <c r="M8" s="137"/>
      <c r="N8" s="137"/>
    </row>
    <row r="9" spans="1:14" s="1" customFormat="1" ht="18" customHeight="1" x14ac:dyDescent="0.25">
      <c r="A9" s="12" t="s">
        <v>37</v>
      </c>
      <c r="B9" s="183">
        <f>'App5. Estab Costs'!$G$14</f>
        <v>0</v>
      </c>
      <c r="C9" s="215">
        <v>0</v>
      </c>
      <c r="D9" s="215">
        <v>0</v>
      </c>
      <c r="E9" s="215">
        <v>0</v>
      </c>
      <c r="F9" s="215">
        <v>0</v>
      </c>
      <c r="G9" s="215">
        <v>0</v>
      </c>
      <c r="I9" s="137"/>
      <c r="J9" s="137"/>
      <c r="K9" s="137"/>
      <c r="L9" s="137"/>
      <c r="M9" s="137"/>
      <c r="N9" s="137"/>
    </row>
    <row r="10" spans="1:14" s="1" customFormat="1" ht="18" customHeight="1" x14ac:dyDescent="0.25">
      <c r="A10" s="12" t="s">
        <v>41</v>
      </c>
      <c r="B10" s="215">
        <v>0</v>
      </c>
      <c r="C10" s="215">
        <v>0</v>
      </c>
      <c r="D10" s="183">
        <f>'App5. Estab Costs'!$G$61</f>
        <v>43500</v>
      </c>
      <c r="E10" s="215">
        <v>0</v>
      </c>
      <c r="F10" s="215">
        <v>0</v>
      </c>
      <c r="G10" s="215">
        <v>0</v>
      </c>
      <c r="I10" s="137"/>
      <c r="J10" s="137"/>
      <c r="K10" s="137"/>
      <c r="L10" s="137"/>
      <c r="M10" s="137"/>
      <c r="N10" s="137"/>
    </row>
    <row r="11" spans="1:14" s="1" customFormat="1" ht="18" customHeight="1" x14ac:dyDescent="0.25">
      <c r="A11" s="12" t="s">
        <v>54</v>
      </c>
      <c r="B11" s="183">
        <f>('Yellow Cherry Budget'!C32+'Yellow Cherry Budget'!C34+'Yellow Cherry Budget'!C35+'Yellow Cherry Budget'!C36+'Yellow Cherry Budget'!C58)*'App9. Data for tables'!$C$78</f>
        <v>168442.99876249998</v>
      </c>
      <c r="C11" s="183">
        <f>('Yellow Cherry Budget'!D32+'Yellow Cherry Budget'!D34+'Yellow Cherry Budget'!D35+'Yellow Cherry Budget'!D36+'Yellow Cherry Budget'!D58)*'App9. Data for tables'!$D$78</f>
        <v>51697.438099999999</v>
      </c>
      <c r="D11" s="93">
        <f>('Yellow Cherry Budget'!E32+'Yellow Cherry Budget'!E34+'Yellow Cherry Budget'!E35+'Yellow Cherry Budget'!E36+'Yellow Cherry Budget'!E58)*'App9. Data for tables'!$E$78</f>
        <v>123300.987425</v>
      </c>
      <c r="E11" s="183">
        <f>('Yellow Cherry Budget'!F32+'Yellow Cherry Budget'!F34+'Yellow Cherry Budget'!F35+'Yellow Cherry Budget'!F36+'Yellow Cherry Budget'!F58)*'App9. Data for tables'!$F$78</f>
        <v>219315.86022500001</v>
      </c>
      <c r="F11" s="183">
        <f>('Yellow Cherry Budget'!G32+'Yellow Cherry Budget'!G34+'Yellow Cherry Budget'!G35+'Yellow Cherry Budget'!G36+'Yellow Cherry Budget'!G58)*'App9. Data for tables'!$G$78</f>
        <v>358438.05304999999</v>
      </c>
      <c r="G11" s="183">
        <f>('Yellow Cherry Budget'!H32+'Yellow Cherry Budget'!H34+'Yellow Cherry Budget'!H35+'Yellow Cherry Budget'!H36+'Yellow Cherry Budget'!H58)*'App9. Data for tables'!$H$78</f>
        <v>388630.58753749996</v>
      </c>
      <c r="I11" s="137"/>
      <c r="J11" s="137"/>
      <c r="K11" s="137"/>
      <c r="L11" s="137"/>
      <c r="M11" s="137"/>
      <c r="N11" s="137"/>
    </row>
    <row r="12" spans="1:14" s="1" customFormat="1" ht="18" customHeight="1" x14ac:dyDescent="0.25">
      <c r="A12" s="136" t="s">
        <v>55</v>
      </c>
      <c r="B12" s="183">
        <f t="shared" ref="B12:G12" si="0">SUM(B3:B11)</f>
        <v>465089.49876250001</v>
      </c>
      <c r="C12" s="183">
        <f t="shared" si="0"/>
        <v>51697.438099999999</v>
      </c>
      <c r="D12" s="93">
        <f t="shared" si="0"/>
        <v>205300.987425</v>
      </c>
      <c r="E12" s="183">
        <f t="shared" si="0"/>
        <v>219315.86022500001</v>
      </c>
      <c r="F12" s="183">
        <f t="shared" si="0"/>
        <v>358438.05304999999</v>
      </c>
      <c r="G12" s="183">
        <f t="shared" si="0"/>
        <v>388630.58753749996</v>
      </c>
      <c r="I12" s="137"/>
      <c r="J12" s="137"/>
      <c r="K12" s="137"/>
      <c r="L12" s="137"/>
      <c r="M12" s="137"/>
      <c r="N12" s="137"/>
    </row>
    <row r="13" spans="1:14" s="1" customFormat="1" ht="36" customHeight="1" x14ac:dyDescent="0.25">
      <c r="A13" s="136" t="s">
        <v>56</v>
      </c>
      <c r="B13" s="183">
        <f>'Yellow Cherry Budget'!C11*'App9. Data for tables'!$C$78</f>
        <v>0</v>
      </c>
      <c r="C13" s="183">
        <f>'Yellow Cherry Budget'!D11*'App9. Data for tables'!$D$78</f>
        <v>0</v>
      </c>
      <c r="D13" s="93">
        <f>'Yellow Cherry Budget'!E11*'App9. Data for tables'!$E$78</f>
        <v>103686</v>
      </c>
      <c r="E13" s="183">
        <f>'Yellow Cherry Budget'!F11*'App9. Data for tables'!$F$78</f>
        <v>276496</v>
      </c>
      <c r="F13" s="183">
        <f>'Yellow Cherry Budget'!G11*'App9. Data for tables'!$G$78</f>
        <v>552992</v>
      </c>
      <c r="G13" s="183">
        <f>'Yellow Cherry Budget'!H11*'App9. Data for tables'!$H$78</f>
        <v>622116</v>
      </c>
      <c r="I13" s="137"/>
      <c r="J13" s="137"/>
      <c r="K13" s="137"/>
      <c r="L13" s="137"/>
      <c r="M13" s="137"/>
      <c r="N13" s="137"/>
    </row>
    <row r="14" spans="1:14" s="1" customFormat="1" ht="36" customHeight="1" x14ac:dyDescent="0.25">
      <c r="A14" s="252" t="s">
        <v>57</v>
      </c>
      <c r="B14" s="183">
        <f t="shared" ref="B14:G14" si="1">B12-B13</f>
        <v>465089.49876250001</v>
      </c>
      <c r="C14" s="183">
        <f t="shared" si="1"/>
        <v>51697.438099999999</v>
      </c>
      <c r="D14" s="93">
        <f t="shared" si="1"/>
        <v>101614.987425</v>
      </c>
      <c r="E14" s="183">
        <f t="shared" si="1"/>
        <v>-57180.139774999989</v>
      </c>
      <c r="F14" s="183">
        <f t="shared" si="1"/>
        <v>-194553.94695000001</v>
      </c>
      <c r="G14" s="183">
        <f t="shared" si="1"/>
        <v>-233485.41246250004</v>
      </c>
      <c r="I14" s="137"/>
      <c r="J14" s="137"/>
      <c r="K14" s="137"/>
      <c r="L14" s="137"/>
      <c r="M14" s="137"/>
      <c r="N14" s="137"/>
    </row>
    <row r="15" spans="1:14" s="1" customFormat="1" ht="18" customHeight="1" x14ac:dyDescent="0.25">
      <c r="A15" s="185" t="s">
        <v>49</v>
      </c>
      <c r="I15" s="137"/>
      <c r="J15" s="137"/>
      <c r="K15" s="137"/>
      <c r="L15" s="137"/>
      <c r="M15" s="137"/>
      <c r="N15" s="137"/>
    </row>
    <row r="16" spans="1:14" s="1" customFormat="1" ht="18" customHeight="1" x14ac:dyDescent="0.25">
      <c r="A16" s="9" t="s">
        <v>344</v>
      </c>
      <c r="I16" s="137"/>
      <c r="J16" s="137"/>
      <c r="K16" s="137"/>
      <c r="L16" s="137"/>
      <c r="M16" s="137"/>
      <c r="N16" s="137"/>
    </row>
    <row r="17" spans="1:14" s="1" customFormat="1" ht="18" customHeight="1" x14ac:dyDescent="0.25">
      <c r="A17" s="9" t="s">
        <v>58</v>
      </c>
      <c r="E17" s="186"/>
      <c r="F17" s="186"/>
      <c r="G17" s="186"/>
      <c r="I17" s="137"/>
      <c r="J17" s="137"/>
      <c r="K17" s="137"/>
      <c r="L17" s="137"/>
      <c r="M17" s="137"/>
      <c r="N17" s="137"/>
    </row>
    <row r="18" spans="1:14" x14ac:dyDescent="0.25">
      <c r="B18" s="15"/>
      <c r="C18" s="15"/>
      <c r="D18" s="15"/>
      <c r="E18" s="15"/>
      <c r="F18" s="15"/>
      <c r="G18" s="15"/>
      <c r="H18" s="15"/>
    </row>
    <row r="19" spans="1:14" x14ac:dyDescent="0.25">
      <c r="E19" s="33"/>
      <c r="F19" s="33"/>
      <c r="G19" s="33"/>
    </row>
    <row r="20" spans="1:14" x14ac:dyDescent="0.25">
      <c r="E20" s="33"/>
      <c r="F20" s="33"/>
      <c r="G20" s="33"/>
    </row>
    <row r="21" spans="1:14" x14ac:dyDescent="0.25">
      <c r="E21" s="33"/>
      <c r="F21" s="33"/>
      <c r="G21" s="33"/>
    </row>
    <row r="22" spans="1:14" x14ac:dyDescent="0.25">
      <c r="E22" s="33"/>
      <c r="F22" s="33"/>
      <c r="G22" s="33"/>
    </row>
    <row r="23" spans="1:14" x14ac:dyDescent="0.25">
      <c r="E23" s="33"/>
      <c r="F23" s="33"/>
      <c r="G23" s="33"/>
    </row>
    <row r="24" spans="1:14" x14ac:dyDescent="0.25">
      <c r="E24" s="33"/>
      <c r="F24" s="33"/>
      <c r="G24" s="33"/>
    </row>
    <row r="25" spans="1:14" x14ac:dyDescent="0.25">
      <c r="E25" s="33"/>
      <c r="F25" s="33"/>
      <c r="G25" s="33"/>
    </row>
    <row r="26" spans="1:14" x14ac:dyDescent="0.25">
      <c r="E26" s="33"/>
      <c r="F26" s="33"/>
      <c r="G26" s="33"/>
    </row>
  </sheetData>
  <phoneticPr fontId="17" type="noConversion"/>
  <pageMargins left="0.7" right="0.7" top="0.75" bottom="0.75" header="0.3" footer="0.3"/>
  <pageSetup orientation="portrait"/>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6"/>
  <sheetViews>
    <sheetView workbookViewId="0">
      <selection activeCell="A4" sqref="A4"/>
    </sheetView>
  </sheetViews>
  <sheetFormatPr defaultColWidth="9.140625" defaultRowHeight="15" x14ac:dyDescent="0.25"/>
  <cols>
    <col min="1" max="1" width="32" style="2" customWidth="1"/>
    <col min="2" max="2" width="15.7109375" style="2" customWidth="1"/>
    <col min="3" max="3" width="19.28515625" style="2" customWidth="1"/>
    <col min="4" max="4" width="17.28515625" style="2" customWidth="1"/>
    <col min="5" max="5" width="16.7109375" style="2" customWidth="1"/>
    <col min="6" max="6" width="9.140625" style="2"/>
    <col min="7" max="16384" width="9.140625" style="4"/>
  </cols>
  <sheetData>
    <row r="1" spans="1:6" ht="30" customHeight="1" x14ac:dyDescent="0.3">
      <c r="A1" s="143" t="s">
        <v>243</v>
      </c>
      <c r="B1" s="143"/>
      <c r="C1" s="143"/>
      <c r="D1" s="143"/>
      <c r="E1" s="143"/>
      <c r="F1" s="3"/>
    </row>
    <row r="2" spans="1:6" ht="30.75" x14ac:dyDescent="0.25">
      <c r="A2" s="148" t="s">
        <v>244</v>
      </c>
      <c r="B2" s="148" t="s">
        <v>59</v>
      </c>
      <c r="C2" s="253" t="s">
        <v>60</v>
      </c>
      <c r="D2" s="253" t="s">
        <v>61</v>
      </c>
      <c r="E2" s="253" t="s">
        <v>62</v>
      </c>
      <c r="F2" s="1"/>
    </row>
    <row r="3" spans="1:6" ht="18" customHeight="1" x14ac:dyDescent="0.25">
      <c r="A3" s="224" t="s">
        <v>472</v>
      </c>
      <c r="B3" s="224"/>
      <c r="C3" s="225">
        <v>150000</v>
      </c>
      <c r="D3" s="226">
        <v>1</v>
      </c>
      <c r="E3" s="93">
        <f t="shared" ref="E3:E13" si="0">C3*D3</f>
        <v>150000</v>
      </c>
      <c r="F3" s="1"/>
    </row>
    <row r="4" spans="1:6" ht="18" customHeight="1" x14ac:dyDescent="0.25">
      <c r="A4" s="224" t="s">
        <v>63</v>
      </c>
      <c r="B4" s="224" t="s">
        <v>64</v>
      </c>
      <c r="C4" s="225">
        <v>65000</v>
      </c>
      <c r="D4" s="226">
        <v>5</v>
      </c>
      <c r="E4" s="93">
        <f t="shared" si="0"/>
        <v>325000</v>
      </c>
      <c r="F4" s="1"/>
    </row>
    <row r="5" spans="1:6" ht="18" customHeight="1" x14ac:dyDescent="0.25">
      <c r="A5" s="224" t="s">
        <v>65</v>
      </c>
      <c r="B5" s="224" t="s">
        <v>66</v>
      </c>
      <c r="C5" s="225">
        <v>60000</v>
      </c>
      <c r="D5" s="226">
        <v>2</v>
      </c>
      <c r="E5" s="93">
        <f t="shared" si="0"/>
        <v>120000</v>
      </c>
      <c r="F5" s="1"/>
    </row>
    <row r="6" spans="1:6" ht="18" customHeight="1" x14ac:dyDescent="0.25">
      <c r="A6" s="224" t="s">
        <v>67</v>
      </c>
      <c r="B6" s="224" t="s">
        <v>68</v>
      </c>
      <c r="C6" s="225">
        <v>8000</v>
      </c>
      <c r="D6" s="226">
        <v>3</v>
      </c>
      <c r="E6" s="93">
        <f t="shared" si="0"/>
        <v>24000</v>
      </c>
      <c r="F6" s="1"/>
    </row>
    <row r="7" spans="1:6" ht="18" customHeight="1" x14ac:dyDescent="0.25">
      <c r="A7" s="224" t="s">
        <v>69</v>
      </c>
      <c r="B7" s="224"/>
      <c r="C7" s="225">
        <v>30000</v>
      </c>
      <c r="D7" s="226">
        <v>5</v>
      </c>
      <c r="E7" s="93">
        <f t="shared" si="0"/>
        <v>150000</v>
      </c>
      <c r="F7" s="1"/>
    </row>
    <row r="8" spans="1:6" ht="18" customHeight="1" x14ac:dyDescent="0.25">
      <c r="A8" s="224" t="s">
        <v>70</v>
      </c>
      <c r="B8" s="224"/>
      <c r="C8" s="225">
        <v>7000</v>
      </c>
      <c r="D8" s="226">
        <v>1</v>
      </c>
      <c r="E8" s="93">
        <f t="shared" si="0"/>
        <v>7000</v>
      </c>
      <c r="F8" s="1"/>
    </row>
    <row r="9" spans="1:6" ht="18" customHeight="1" x14ac:dyDescent="0.25">
      <c r="A9" s="224" t="s">
        <v>71</v>
      </c>
      <c r="B9" s="224" t="s">
        <v>72</v>
      </c>
      <c r="C9" s="225">
        <v>7800</v>
      </c>
      <c r="D9" s="226">
        <v>1</v>
      </c>
      <c r="E9" s="93">
        <f t="shared" si="0"/>
        <v>7800</v>
      </c>
      <c r="F9" s="1"/>
    </row>
    <row r="10" spans="1:6" ht="18" customHeight="1" x14ac:dyDescent="0.25">
      <c r="A10" s="224" t="s">
        <v>73</v>
      </c>
      <c r="B10" s="224"/>
      <c r="C10" s="225">
        <v>12000</v>
      </c>
      <c r="D10" s="226">
        <v>1</v>
      </c>
      <c r="E10" s="93">
        <f t="shared" si="0"/>
        <v>12000</v>
      </c>
      <c r="F10" s="1"/>
    </row>
    <row r="11" spans="1:6" ht="18" customHeight="1" x14ac:dyDescent="0.25">
      <c r="A11" s="224" t="s">
        <v>74</v>
      </c>
      <c r="B11" s="224"/>
      <c r="C11" s="225">
        <v>50000</v>
      </c>
      <c r="D11" s="226">
        <v>2</v>
      </c>
      <c r="E11" s="93">
        <f>C11*D11</f>
        <v>100000</v>
      </c>
      <c r="F11" s="1"/>
    </row>
    <row r="12" spans="1:6" ht="18" customHeight="1" x14ac:dyDescent="0.25">
      <c r="A12" s="227" t="s">
        <v>75</v>
      </c>
      <c r="B12" s="227"/>
      <c r="C12" s="225">
        <v>11000</v>
      </c>
      <c r="D12" s="226">
        <v>4</v>
      </c>
      <c r="E12" s="93">
        <f t="shared" si="0"/>
        <v>44000</v>
      </c>
      <c r="F12" s="1"/>
    </row>
    <row r="13" spans="1:6" ht="18" customHeight="1" x14ac:dyDescent="0.25">
      <c r="A13" s="227" t="s">
        <v>76</v>
      </c>
      <c r="B13" s="227" t="s">
        <v>77</v>
      </c>
      <c r="C13" s="225">
        <v>65000</v>
      </c>
      <c r="D13" s="226">
        <v>2</v>
      </c>
      <c r="E13" s="93">
        <f t="shared" si="0"/>
        <v>130000</v>
      </c>
      <c r="F13" s="1"/>
    </row>
    <row r="14" spans="1:6" ht="18" customHeight="1" x14ac:dyDescent="0.25">
      <c r="A14" s="227" t="s">
        <v>78</v>
      </c>
      <c r="B14" s="227" t="s">
        <v>79</v>
      </c>
      <c r="C14" s="225">
        <v>120</v>
      </c>
      <c r="D14" s="226">
        <v>100</v>
      </c>
      <c r="E14" s="93">
        <f>C14*D14</f>
        <v>12000</v>
      </c>
      <c r="F14" s="1"/>
    </row>
    <row r="15" spans="1:6" ht="18" customHeight="1" x14ac:dyDescent="0.25">
      <c r="A15" s="227" t="s">
        <v>80</v>
      </c>
      <c r="B15" s="227"/>
      <c r="C15" s="225">
        <v>60000</v>
      </c>
      <c r="D15" s="226">
        <v>3</v>
      </c>
      <c r="E15" s="93">
        <f>C15*D15</f>
        <v>180000</v>
      </c>
      <c r="F15" s="1"/>
    </row>
    <row r="16" spans="1:6" ht="18" customHeight="1" x14ac:dyDescent="0.25">
      <c r="A16" s="227" t="s">
        <v>473</v>
      </c>
      <c r="B16" s="227"/>
      <c r="C16" s="225">
        <v>50000</v>
      </c>
      <c r="D16" s="226">
        <v>1</v>
      </c>
      <c r="E16" s="93">
        <f>C16*D16</f>
        <v>50000</v>
      </c>
      <c r="F16" s="1"/>
    </row>
    <row r="17" spans="1:6" ht="18" customHeight="1" thickBot="1" x14ac:dyDescent="0.3">
      <c r="A17" s="227" t="s">
        <v>474</v>
      </c>
      <c r="B17" s="227"/>
      <c r="C17" s="225">
        <v>20000</v>
      </c>
      <c r="D17" s="226">
        <v>1</v>
      </c>
      <c r="E17" s="187">
        <f>C17*D17</f>
        <v>20000</v>
      </c>
      <c r="F17" s="1"/>
    </row>
    <row r="18" spans="1:6" ht="18" customHeight="1" thickTop="1" x14ac:dyDescent="0.25">
      <c r="A18" s="136" t="s">
        <v>52</v>
      </c>
      <c r="B18" s="136"/>
      <c r="C18" s="254"/>
      <c r="D18" s="254"/>
      <c r="E18" s="255">
        <f>SUM(E3:E17)</f>
        <v>1331800</v>
      </c>
      <c r="F18" s="1"/>
    </row>
    <row r="19" spans="1:6" ht="18" customHeight="1" x14ac:dyDescent="0.25">
      <c r="A19" s="9" t="s">
        <v>81</v>
      </c>
      <c r="B19" s="9"/>
      <c r="C19" s="1"/>
      <c r="D19" s="1"/>
      <c r="E19" s="1"/>
      <c r="F19" s="1"/>
    </row>
    <row r="20" spans="1:6" ht="18" customHeight="1" x14ac:dyDescent="0.25">
      <c r="A20" s="9" t="s">
        <v>456</v>
      </c>
      <c r="B20" s="9"/>
      <c r="C20" s="9"/>
      <c r="D20" s="9"/>
      <c r="E20" s="9"/>
      <c r="F20" s="1"/>
    </row>
    <row r="21" spans="1:6" ht="18" customHeight="1" x14ac:dyDescent="0.25">
      <c r="A21" s="9" t="s">
        <v>82</v>
      </c>
      <c r="B21" s="9"/>
      <c r="C21" s="1"/>
      <c r="D21" s="1"/>
      <c r="E21" s="1"/>
      <c r="F21" s="1"/>
    </row>
    <row r="22" spans="1:6" ht="18" customHeight="1" x14ac:dyDescent="0.25">
      <c r="A22" s="9" t="s">
        <v>83</v>
      </c>
      <c r="B22" s="9"/>
      <c r="C22" s="9"/>
      <c r="D22" s="9"/>
      <c r="E22" s="9"/>
      <c r="F22" s="1"/>
    </row>
    <row r="23" spans="1:6" ht="18" customHeight="1" x14ac:dyDescent="0.25">
      <c r="A23" s="9" t="s">
        <v>84</v>
      </c>
      <c r="B23" s="9"/>
      <c r="C23" s="9"/>
      <c r="D23" s="9"/>
      <c r="E23" s="9"/>
      <c r="F23" s="1"/>
    </row>
    <row r="24" spans="1:6" ht="18" customHeight="1" x14ac:dyDescent="0.25">
      <c r="A24" s="9" t="s">
        <v>85</v>
      </c>
      <c r="B24" s="9"/>
      <c r="C24" s="1"/>
      <c r="D24" s="1"/>
      <c r="E24" s="1"/>
      <c r="F24" s="1"/>
    </row>
    <row r="26" spans="1:6" x14ac:dyDescent="0.25">
      <c r="A26" s="4"/>
      <c r="B26" s="4"/>
      <c r="C26" s="5"/>
      <c r="D26" s="5"/>
      <c r="E26" s="5"/>
      <c r="F26" s="5"/>
    </row>
  </sheetData>
  <protectedRanges>
    <protectedRange sqref="C3:D17" name="Price and No. of Units_1"/>
  </protectedRanges>
  <phoneticPr fontId="17" type="noConversion"/>
  <pageMargins left="0.7" right="0.7" top="0.75" bottom="0.75" header="0.3" footer="0.3"/>
  <pageSetup scale="84" orientation="portrait" horizontalDpi="4294967293" verticalDpi="4294967293"/>
  <tableParts count="1">
    <tablePart r:id="rId1"/>
  </tableParts>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workbookViewId="0"/>
  </sheetViews>
  <sheetFormatPr defaultColWidth="9.140625" defaultRowHeight="15" x14ac:dyDescent="0.25"/>
  <cols>
    <col min="1" max="1" width="31.7109375" style="19" customWidth="1"/>
    <col min="2" max="2" width="15.7109375" style="19" customWidth="1"/>
    <col min="3" max="3" width="11.7109375" style="19" customWidth="1"/>
    <col min="4" max="4" width="10.7109375" style="19" customWidth="1"/>
    <col min="5" max="5" width="14.28515625" style="19" customWidth="1"/>
    <col min="6" max="6" width="15.28515625" style="19" customWidth="1"/>
    <col min="7" max="7" width="5.140625" style="19" customWidth="1"/>
    <col min="8" max="8" width="9.140625" style="19"/>
    <col min="9" max="9" width="10.42578125" style="19" bestFit="1" customWidth="1"/>
    <col min="10" max="16384" width="9.140625" style="19"/>
  </cols>
  <sheetData>
    <row r="1" spans="1:7" s="2" customFormat="1" ht="30" customHeight="1" x14ac:dyDescent="0.3">
      <c r="A1" s="143" t="s">
        <v>457</v>
      </c>
      <c r="B1" s="143"/>
      <c r="C1" s="143"/>
      <c r="D1" s="143"/>
      <c r="E1" s="143"/>
      <c r="F1" s="143"/>
      <c r="G1" s="144"/>
    </row>
    <row r="2" spans="1:7" s="25" customFormat="1" ht="30.75" x14ac:dyDescent="0.25">
      <c r="A2" s="82" t="s">
        <v>245</v>
      </c>
      <c r="B2" s="256" t="s">
        <v>86</v>
      </c>
      <c r="C2" s="256" t="s">
        <v>87</v>
      </c>
      <c r="D2" s="256" t="s">
        <v>88</v>
      </c>
      <c r="E2" s="256" t="s">
        <v>89</v>
      </c>
      <c r="F2" s="256" t="s">
        <v>90</v>
      </c>
    </row>
    <row r="3" spans="1:7" s="2" customFormat="1" ht="18" customHeight="1" x14ac:dyDescent="0.25">
      <c r="A3" s="1" t="s">
        <v>91</v>
      </c>
      <c r="B3" s="93">
        <f>'App5. Estab Costs'!$G$11+'App5. Estab Costs'!$G$12</f>
        <v>42146.5</v>
      </c>
      <c r="C3" s="93">
        <v>0</v>
      </c>
      <c r="D3" s="93">
        <f>'App9. Data for tables'!$H$78</f>
        <v>11</v>
      </c>
      <c r="E3" s="188">
        <f>((B3+C3)/2)*'App9. Data for tables'!$H$74</f>
        <v>1053.6625000000001</v>
      </c>
      <c r="F3" s="188">
        <f>E3/D3</f>
        <v>95.787500000000009</v>
      </c>
      <c r="G3" s="171"/>
    </row>
    <row r="4" spans="1:7" s="2" customFormat="1" ht="18" customHeight="1" x14ac:dyDescent="0.25">
      <c r="A4" s="131" t="s">
        <v>382</v>
      </c>
      <c r="B4" s="93">
        <f>'App5. Estab Costs'!$G$47</f>
        <v>38500</v>
      </c>
      <c r="C4" s="93">
        <v>0</v>
      </c>
      <c r="D4" s="93">
        <f>'App9. Data for tables'!$H$78</f>
        <v>11</v>
      </c>
      <c r="E4" s="188">
        <f>((B4+C4)/2)*'App9. Data for tables'!$H$74</f>
        <v>962.5</v>
      </c>
      <c r="F4" s="188">
        <f>E4/D4</f>
        <v>87.5</v>
      </c>
      <c r="G4" s="171"/>
    </row>
    <row r="5" spans="1:7" s="2" customFormat="1" ht="18" customHeight="1" x14ac:dyDescent="0.25">
      <c r="A5" s="131" t="s">
        <v>317</v>
      </c>
      <c r="B5" s="93">
        <f>'App5. Estab Costs'!$G$49</f>
        <v>0</v>
      </c>
      <c r="C5" s="93">
        <v>0</v>
      </c>
      <c r="D5" s="93">
        <f>'App9. Data for tables'!$H$78</f>
        <v>11</v>
      </c>
      <c r="E5" s="188">
        <f>((B5+C5)/2)*'App9. Data for tables'!$H$74</f>
        <v>0</v>
      </c>
      <c r="F5" s="188">
        <f>E5/D5</f>
        <v>0</v>
      </c>
      <c r="G5" s="171"/>
    </row>
    <row r="6" spans="1:7" s="2" customFormat="1" ht="18" customHeight="1" x14ac:dyDescent="0.25">
      <c r="A6" s="1" t="s">
        <v>92</v>
      </c>
      <c r="B6" s="93">
        <f>'App5. Estab Costs'!$G$3</f>
        <v>216000</v>
      </c>
      <c r="C6" s="93" t="s">
        <v>93</v>
      </c>
      <c r="D6" s="93">
        <f>'App9. Data for tables'!$H$77</f>
        <v>12</v>
      </c>
      <c r="E6" s="188">
        <f>B6*'App9. Data for tables'!$H$74</f>
        <v>10800</v>
      </c>
      <c r="F6" s="188">
        <f>E6/D6</f>
        <v>900</v>
      </c>
      <c r="G6" s="5"/>
    </row>
    <row r="7" spans="1:7" s="2" customFormat="1" ht="18" customHeight="1" x14ac:dyDescent="0.25">
      <c r="A7" s="1" t="s">
        <v>94</v>
      </c>
      <c r="B7" s="93">
        <f>'App2. Mach Etc Req'!$E$18</f>
        <v>1331800</v>
      </c>
      <c r="C7" s="93">
        <f>'App7. Salv Value &amp; Dep Calc'!E18</f>
        <v>118180</v>
      </c>
      <c r="D7" s="93">
        <f>'App9. Data for tables'!$H$80</f>
        <v>300</v>
      </c>
      <c r="E7" s="188">
        <f>((B7+C7)/2)*'App9. Data for tables'!$H$74</f>
        <v>36249.5</v>
      </c>
      <c r="F7" s="188">
        <f>E7/D7</f>
        <v>120.83166666666666</v>
      </c>
      <c r="G7" s="5"/>
    </row>
    <row r="8" spans="1:7" s="2" customFormat="1" ht="18" customHeight="1" x14ac:dyDescent="0.25">
      <c r="A8" s="5" t="s">
        <v>95</v>
      </c>
      <c r="B8" s="188">
        <f>'App5. Estab Costs'!$G$13</f>
        <v>0</v>
      </c>
      <c r="C8" s="189">
        <v>0</v>
      </c>
      <c r="D8" s="93">
        <f>'App9. Data for tables'!$H$78</f>
        <v>11</v>
      </c>
      <c r="E8" s="188">
        <f>((B8+C8)/2)*'App9. Data for tables'!$H$74</f>
        <v>0</v>
      </c>
      <c r="F8" s="188">
        <f t="shared" ref="F8:F10" si="0">E8/D8</f>
        <v>0</v>
      </c>
      <c r="G8" s="5"/>
    </row>
    <row r="9" spans="1:7" s="2" customFormat="1" ht="18" customHeight="1" x14ac:dyDescent="0.25">
      <c r="A9" s="1" t="s">
        <v>96</v>
      </c>
      <c r="B9" s="93">
        <f>'App5. Estab Costs'!$G$14</f>
        <v>0</v>
      </c>
      <c r="C9" s="93">
        <v>0</v>
      </c>
      <c r="D9" s="93">
        <f>'App9. Data for tables'!$H$78</f>
        <v>11</v>
      </c>
      <c r="E9" s="188">
        <f>((B9+C9)/2)*'App9. Data for tables'!$H$74</f>
        <v>0</v>
      </c>
      <c r="F9" s="188">
        <f t="shared" si="0"/>
        <v>0</v>
      </c>
      <c r="G9" s="5"/>
    </row>
    <row r="10" spans="1:7" s="2" customFormat="1" ht="18" customHeight="1" x14ac:dyDescent="0.25">
      <c r="A10" s="5" t="s">
        <v>97</v>
      </c>
      <c r="B10" s="188">
        <f>'App5. Estab Costs'!$G$10</f>
        <v>38500</v>
      </c>
      <c r="C10" s="189">
        <v>0</v>
      </c>
      <c r="D10" s="93">
        <f>'App9. Data for tables'!$H$78</f>
        <v>11</v>
      </c>
      <c r="E10" s="188">
        <f>((B10+C10)/2)*'App9. Data for tables'!$H$74</f>
        <v>962.5</v>
      </c>
      <c r="F10" s="188">
        <f t="shared" si="0"/>
        <v>87.5</v>
      </c>
      <c r="G10" s="5"/>
    </row>
    <row r="11" spans="1:7" s="2" customFormat="1" ht="18" customHeight="1" x14ac:dyDescent="0.25">
      <c r="A11" s="12" t="s">
        <v>98</v>
      </c>
      <c r="B11" s="93">
        <f>'App5. Estab Costs'!$G$61</f>
        <v>43500</v>
      </c>
      <c r="C11" s="93">
        <v>0</v>
      </c>
      <c r="D11" s="93">
        <f>'App9. Data for tables'!$H$78</f>
        <v>11</v>
      </c>
      <c r="E11" s="188">
        <f>((B11+C11)/2)*'App9. Data for tables'!$H$74</f>
        <v>1087.5</v>
      </c>
      <c r="F11" s="188">
        <f>E11/D11</f>
        <v>98.86363636363636</v>
      </c>
      <c r="G11" s="5"/>
    </row>
    <row r="12" spans="1:7" s="2" customFormat="1" ht="18" customHeight="1" x14ac:dyDescent="0.25">
      <c r="A12" s="181" t="s">
        <v>49</v>
      </c>
      <c r="B12" s="5"/>
      <c r="C12" s="5"/>
      <c r="D12" s="5"/>
      <c r="E12" s="5"/>
      <c r="F12" s="5"/>
      <c r="G12" s="5"/>
    </row>
    <row r="13" spans="1:7" s="2" customFormat="1" ht="18" customHeight="1" x14ac:dyDescent="0.25">
      <c r="A13" s="181" t="s">
        <v>100</v>
      </c>
      <c r="B13" s="190"/>
      <c r="C13" s="5"/>
      <c r="D13" s="5"/>
      <c r="E13" s="5"/>
      <c r="F13" s="191"/>
      <c r="G13" s="5"/>
    </row>
    <row r="14" spans="1:7" s="5" customFormat="1" ht="18" customHeight="1" x14ac:dyDescent="0.25">
      <c r="A14" s="181" t="s">
        <v>101</v>
      </c>
      <c r="B14" s="181"/>
      <c r="C14" s="181"/>
      <c r="D14" s="181"/>
      <c r="E14" s="181"/>
      <c r="F14" s="181"/>
    </row>
    <row r="15" spans="1:7" s="5" customFormat="1" ht="18" customHeight="1" x14ac:dyDescent="0.25">
      <c r="A15" s="181" t="s">
        <v>424</v>
      </c>
      <c r="B15" s="181"/>
      <c r="C15" s="181"/>
      <c r="D15" s="181"/>
      <c r="E15" s="181"/>
      <c r="F15" s="181"/>
    </row>
    <row r="16" spans="1:7" s="5" customFormat="1" ht="18" customHeight="1" x14ac:dyDescent="0.25">
      <c r="A16" s="192" t="s">
        <v>425</v>
      </c>
      <c r="B16" s="181"/>
      <c r="C16" s="181"/>
      <c r="D16" s="181"/>
      <c r="E16" s="181"/>
      <c r="F16" s="181"/>
    </row>
    <row r="17" spans="1:6" s="5" customFormat="1" ht="18" customHeight="1" x14ac:dyDescent="0.25">
      <c r="A17" s="181" t="s">
        <v>426</v>
      </c>
      <c r="B17" s="181"/>
      <c r="C17" s="181"/>
      <c r="D17" s="181"/>
      <c r="E17" s="181"/>
      <c r="F17" s="181"/>
    </row>
    <row r="18" spans="1:6" s="5" customFormat="1" ht="18" customHeight="1" x14ac:dyDescent="0.25">
      <c r="A18" s="192" t="s">
        <v>427</v>
      </c>
      <c r="B18" s="181"/>
      <c r="C18" s="181"/>
      <c r="D18" s="181"/>
      <c r="E18" s="181"/>
      <c r="F18" s="181"/>
    </row>
    <row r="19" spans="1:6" s="5" customFormat="1" ht="18" customHeight="1" x14ac:dyDescent="0.25">
      <c r="A19" s="193" t="s">
        <v>246</v>
      </c>
      <c r="B19" s="193"/>
      <c r="C19" s="193"/>
      <c r="D19" s="193"/>
      <c r="E19" s="193"/>
      <c r="F19" s="193"/>
    </row>
  </sheetData>
  <phoneticPr fontId="17" type="noConversion"/>
  <pageMargins left="0.7" right="0.7" top="0.75" bottom="0.75" header="0.3" footer="0.3"/>
  <pageSetup orientation="portrait" r:id="rId1"/>
  <ignoredErrors>
    <ignoredError sqref="D6:D7 E6" calculatedColumn="1"/>
  </ignoredErrors>
  <tableParts count="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A7DA-4540-41FD-AE40-953E9DA279BE}">
  <dimension ref="A1:F13"/>
  <sheetViews>
    <sheetView workbookViewId="0">
      <selection activeCell="A2" sqref="A2"/>
    </sheetView>
  </sheetViews>
  <sheetFormatPr defaultColWidth="9.140625" defaultRowHeight="15" x14ac:dyDescent="0.25"/>
  <cols>
    <col min="1" max="1" width="31.7109375" style="19" customWidth="1"/>
    <col min="2" max="2" width="17.28515625" style="19" customWidth="1"/>
    <col min="3" max="3" width="13" style="19" customWidth="1"/>
    <col min="4" max="4" width="13.28515625" style="19" customWidth="1"/>
    <col min="5" max="5" width="12.28515625" style="19" customWidth="1"/>
    <col min="6" max="6" width="17.42578125" style="19" customWidth="1"/>
    <col min="7" max="7" width="5.140625" style="19" customWidth="1"/>
    <col min="8" max="8" width="9.140625" style="19"/>
    <col min="9" max="9" width="10.42578125" style="19" bestFit="1" customWidth="1"/>
    <col min="10" max="16384" width="9.140625" style="19"/>
  </cols>
  <sheetData>
    <row r="1" spans="1:6" s="2" customFormat="1" ht="30" customHeight="1" x14ac:dyDescent="0.3">
      <c r="A1" s="143" t="s">
        <v>458</v>
      </c>
      <c r="B1" s="143"/>
      <c r="C1" s="143"/>
      <c r="D1" s="143"/>
      <c r="E1" s="143"/>
      <c r="F1" s="143"/>
    </row>
    <row r="2" spans="1:6" s="25" customFormat="1" ht="38.450000000000003" customHeight="1" x14ac:dyDescent="0.25">
      <c r="A2" s="82" t="s">
        <v>245</v>
      </c>
      <c r="B2" s="256" t="s">
        <v>86</v>
      </c>
      <c r="C2" s="256" t="s">
        <v>88</v>
      </c>
      <c r="D2" s="256" t="s">
        <v>102</v>
      </c>
      <c r="E2" s="256" t="s">
        <v>103</v>
      </c>
      <c r="F2" s="256" t="s">
        <v>104</v>
      </c>
    </row>
    <row r="3" spans="1:6" s="2" customFormat="1" ht="18" customHeight="1" x14ac:dyDescent="0.25">
      <c r="A3" s="1" t="s">
        <v>34</v>
      </c>
      <c r="B3" s="188">
        <f>'App3. Interest'!$B3</f>
        <v>42146.5</v>
      </c>
      <c r="C3" s="93">
        <f>'App9. Data for tables'!$H$78</f>
        <v>11</v>
      </c>
      <c r="D3" s="188">
        <f>B3/C3</f>
        <v>3831.5</v>
      </c>
      <c r="E3" s="225">
        <v>30</v>
      </c>
      <c r="F3" s="188">
        <f>(D3-'App3. Interest'!C3)/E3</f>
        <v>127.71666666666667</v>
      </c>
    </row>
    <row r="4" spans="1:6" s="2" customFormat="1" ht="18" customHeight="1" x14ac:dyDescent="0.25">
      <c r="A4" s="1" t="s">
        <v>381</v>
      </c>
      <c r="B4" s="188">
        <f>'App3. Interest'!$B4</f>
        <v>38500</v>
      </c>
      <c r="C4" s="93">
        <f>'App9. Data for tables'!$H$78</f>
        <v>11</v>
      </c>
      <c r="D4" s="188">
        <f>B4/C4</f>
        <v>3500</v>
      </c>
      <c r="E4" s="228">
        <v>10</v>
      </c>
      <c r="F4" s="188">
        <f>(D4-'App3. Interest'!C4)/E4</f>
        <v>350</v>
      </c>
    </row>
    <row r="5" spans="1:6" s="2" customFormat="1" ht="18" customHeight="1" x14ac:dyDescent="0.25">
      <c r="A5" s="194" t="s">
        <v>166</v>
      </c>
      <c r="B5" s="188">
        <f>'App3. Interest'!$B5</f>
        <v>0</v>
      </c>
      <c r="C5" s="93">
        <f>'App9. Data for tables'!$H$78</f>
        <v>11</v>
      </c>
      <c r="D5" s="188">
        <f>B5/C5</f>
        <v>0</v>
      </c>
      <c r="E5" s="228">
        <v>20</v>
      </c>
      <c r="F5" s="188">
        <f>(D5-'App3. Interest'!C5)/E5</f>
        <v>0</v>
      </c>
    </row>
    <row r="6" spans="1:6" s="2" customFormat="1" ht="18" customHeight="1" x14ac:dyDescent="0.25">
      <c r="A6" s="5" t="s">
        <v>36</v>
      </c>
      <c r="B6" s="188">
        <f>'App3. Interest'!B8</f>
        <v>0</v>
      </c>
      <c r="C6" s="93">
        <f>'App9. Data for tables'!$H$78</f>
        <v>11</v>
      </c>
      <c r="D6" s="188">
        <f t="shared" ref="D6:D9" si="0">B6/C6</f>
        <v>0</v>
      </c>
      <c r="E6" s="225">
        <v>30</v>
      </c>
      <c r="F6" s="188">
        <f>(D6-'App3. Interest'!C8)/E6</f>
        <v>0</v>
      </c>
    </row>
    <row r="7" spans="1:6" s="2" customFormat="1" ht="18" customHeight="1" x14ac:dyDescent="0.25">
      <c r="A7" s="1" t="s">
        <v>37</v>
      </c>
      <c r="B7" s="188">
        <f>'App3. Interest'!B9</f>
        <v>0</v>
      </c>
      <c r="C7" s="93">
        <f>'App9. Data for tables'!$H$78</f>
        <v>11</v>
      </c>
      <c r="D7" s="188">
        <f t="shared" si="0"/>
        <v>0</v>
      </c>
      <c r="E7" s="225">
        <v>50</v>
      </c>
      <c r="F7" s="188">
        <f>(D7-'App3. Interest'!C9)/E7</f>
        <v>0</v>
      </c>
    </row>
    <row r="8" spans="1:6" s="2" customFormat="1" ht="18" customHeight="1" x14ac:dyDescent="0.25">
      <c r="A8" s="5" t="s">
        <v>38</v>
      </c>
      <c r="B8" s="188">
        <f>'App3. Interest'!B10</f>
        <v>38500</v>
      </c>
      <c r="C8" s="93">
        <f>'App9. Data for tables'!$H$78</f>
        <v>11</v>
      </c>
      <c r="D8" s="188">
        <f t="shared" si="0"/>
        <v>3500</v>
      </c>
      <c r="E8" s="225">
        <v>25</v>
      </c>
      <c r="F8" s="188">
        <f>(D8-'App3. Interest'!C10)/E8</f>
        <v>140</v>
      </c>
    </row>
    <row r="9" spans="1:6" s="2" customFormat="1" ht="18" customHeight="1" x14ac:dyDescent="0.25">
      <c r="A9" s="12" t="s">
        <v>41</v>
      </c>
      <c r="B9" s="188">
        <f>'App3. Interest'!B11</f>
        <v>43500</v>
      </c>
      <c r="C9" s="93">
        <f>'App9. Data for tables'!$H$78</f>
        <v>11</v>
      </c>
      <c r="D9" s="188">
        <f t="shared" si="0"/>
        <v>3954.5454545454545</v>
      </c>
      <c r="E9" s="225">
        <v>30</v>
      </c>
      <c r="F9" s="188">
        <f>(D9-'App3. Interest'!C11)/E9</f>
        <v>131.81818181818181</v>
      </c>
    </row>
    <row r="10" spans="1:6" s="2" customFormat="1" ht="18" customHeight="1" x14ac:dyDescent="0.25">
      <c r="A10" s="1" t="s">
        <v>105</v>
      </c>
      <c r="B10" s="257" t="s">
        <v>260</v>
      </c>
      <c r="C10" s="257" t="s">
        <v>260</v>
      </c>
      <c r="D10" s="257" t="s">
        <v>260</v>
      </c>
      <c r="E10" s="258" t="s">
        <v>260</v>
      </c>
      <c r="F10" s="188">
        <f>'App7. Salv Value &amp; Dep Calc'!G18</f>
        <v>378.40666666666669</v>
      </c>
    </row>
    <row r="11" spans="1:6" s="2" customFormat="1" ht="18" customHeight="1" x14ac:dyDescent="0.25">
      <c r="A11" s="181" t="s">
        <v>49</v>
      </c>
      <c r="B11" s="5"/>
      <c r="C11" s="5"/>
      <c r="D11" s="5"/>
      <c r="E11" s="5"/>
      <c r="F11" s="5"/>
    </row>
    <row r="12" spans="1:6" s="2" customFormat="1" ht="18" customHeight="1" x14ac:dyDescent="0.25">
      <c r="A12" s="193" t="s">
        <v>106</v>
      </c>
      <c r="B12" s="193"/>
      <c r="C12" s="193"/>
      <c r="D12" s="193"/>
      <c r="E12" s="193"/>
      <c r="F12" s="193"/>
    </row>
    <row r="13" spans="1:6" s="2" customFormat="1" ht="18" customHeight="1" x14ac:dyDescent="0.25">
      <c r="A13" s="181" t="s">
        <v>247</v>
      </c>
      <c r="B13" s="5"/>
      <c r="C13" s="5"/>
      <c r="D13" s="5"/>
      <c r="E13" s="5"/>
      <c r="F13" s="5"/>
    </row>
  </sheetData>
  <protectedRanges>
    <protectedRange sqref="E3:E9" name="Depreciation"/>
  </protectedRange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2"/>
  <sheetViews>
    <sheetView workbookViewId="0"/>
  </sheetViews>
  <sheetFormatPr defaultColWidth="9.140625" defaultRowHeight="15" x14ac:dyDescent="0.25"/>
  <cols>
    <col min="1" max="1" width="9.7109375" style="8" customWidth="1"/>
    <col min="2" max="2" width="54.28515625" style="11" customWidth="1"/>
    <col min="3" max="3" width="12" style="36" customWidth="1"/>
    <col min="4" max="4" width="11.28515625" style="36" customWidth="1"/>
    <col min="5" max="5" width="12.5703125" style="36" customWidth="1"/>
    <col min="6" max="6" width="12.85546875" style="36" customWidth="1"/>
    <col min="7" max="7" width="14.42578125" style="36" customWidth="1"/>
    <col min="8" max="8" width="11.42578125" style="7" customWidth="1"/>
    <col min="9" max="16384" width="9.140625" style="8"/>
  </cols>
  <sheetData>
    <row r="1" spans="1:8" ht="30" customHeight="1" x14ac:dyDescent="0.3">
      <c r="A1" s="140" t="s">
        <v>459</v>
      </c>
      <c r="B1" s="140"/>
      <c r="C1" s="140"/>
      <c r="D1" s="140"/>
      <c r="E1" s="140"/>
      <c r="F1" s="140"/>
      <c r="G1" s="140"/>
    </row>
    <row r="2" spans="1:8" s="10" customFormat="1" ht="28.5" x14ac:dyDescent="0.25">
      <c r="A2" s="259" t="s">
        <v>255</v>
      </c>
      <c r="B2" s="260" t="s">
        <v>59</v>
      </c>
      <c r="C2" s="70" t="s">
        <v>107</v>
      </c>
      <c r="D2" s="70" t="s">
        <v>108</v>
      </c>
      <c r="E2" s="70" t="s">
        <v>109</v>
      </c>
      <c r="F2" s="70" t="s">
        <v>88</v>
      </c>
      <c r="G2" s="70" t="s">
        <v>110</v>
      </c>
      <c r="H2" s="7"/>
    </row>
    <row r="3" spans="1:8" ht="18" customHeight="1" x14ac:dyDescent="0.25">
      <c r="A3" s="7" t="s">
        <v>111</v>
      </c>
      <c r="B3" s="11" t="s">
        <v>248</v>
      </c>
      <c r="C3" s="35"/>
      <c r="D3" s="35"/>
      <c r="E3" s="94">
        <f>'App9. Data for tables'!$C$12</f>
        <v>18000</v>
      </c>
      <c r="F3" s="95">
        <f>'App9. Data for tables'!$C$77</f>
        <v>12</v>
      </c>
      <c r="G3" s="35">
        <f t="shared" ref="G3:G31" si="0">E3*F3</f>
        <v>216000</v>
      </c>
      <c r="H3" s="195"/>
    </row>
    <row r="4" spans="1:8" ht="18" customHeight="1" x14ac:dyDescent="0.25">
      <c r="A4" s="7" t="s">
        <v>111</v>
      </c>
      <c r="B4" s="11" t="s">
        <v>282</v>
      </c>
      <c r="E4" s="94">
        <f>'App9. Data for tables'!$C$13</f>
        <v>1200</v>
      </c>
      <c r="F4" s="95">
        <f>'App9. Data for tables'!$C$78</f>
        <v>11</v>
      </c>
      <c r="G4" s="35">
        <f t="shared" si="0"/>
        <v>13200</v>
      </c>
    </row>
    <row r="5" spans="1:8" ht="18" customHeight="1" x14ac:dyDescent="0.25">
      <c r="A5" s="7" t="s">
        <v>111</v>
      </c>
      <c r="B5" s="11" t="s">
        <v>249</v>
      </c>
      <c r="E5" s="94">
        <f>'App9. Data for tables'!$C$14</f>
        <v>1000</v>
      </c>
      <c r="F5" s="95">
        <f>'App9. Data for tables'!$C$78</f>
        <v>11</v>
      </c>
      <c r="G5" s="35">
        <f t="shared" si="0"/>
        <v>11000</v>
      </c>
    </row>
    <row r="6" spans="1:8" ht="18" customHeight="1" x14ac:dyDescent="0.25">
      <c r="A6" s="7" t="s">
        <v>111</v>
      </c>
      <c r="B6" s="11" t="s">
        <v>250</v>
      </c>
      <c r="E6" s="94">
        <f>'App9. Data for tables'!$C$15</f>
        <v>300</v>
      </c>
      <c r="F6" s="95">
        <f>'App9. Data for tables'!$C$78</f>
        <v>11</v>
      </c>
      <c r="G6" s="35">
        <f t="shared" si="0"/>
        <v>3300</v>
      </c>
      <c r="H6" s="195"/>
    </row>
    <row r="7" spans="1:8" ht="18" customHeight="1" x14ac:dyDescent="0.25">
      <c r="A7" s="7" t="s">
        <v>111</v>
      </c>
      <c r="B7" s="11" t="s">
        <v>251</v>
      </c>
      <c r="E7" s="94">
        <f>'App9. Data for tables'!$C$16+('App9. Data for tables'!$C$17*'App9. Data for tables'!$C$18)</f>
        <v>311.315</v>
      </c>
      <c r="F7" s="95">
        <f>'App9. Data for tables'!$C$78</f>
        <v>11</v>
      </c>
      <c r="G7" s="35">
        <f t="shared" si="0"/>
        <v>3424.4650000000001</v>
      </c>
    </row>
    <row r="8" spans="1:8" ht="18" customHeight="1" x14ac:dyDescent="0.25">
      <c r="A8" s="7" t="s">
        <v>111</v>
      </c>
      <c r="B8" s="11" t="s">
        <v>252</v>
      </c>
      <c r="C8" s="94">
        <f>'App9. Data for tables'!$C$20</f>
        <v>13.5</v>
      </c>
      <c r="D8" s="95">
        <f>'App9. Data for tables'!$C$79</f>
        <v>519</v>
      </c>
      <c r="E8" s="35">
        <f>C8*D8</f>
        <v>7006.5</v>
      </c>
      <c r="F8" s="95">
        <f>'App9. Data for tables'!$C$78</f>
        <v>11</v>
      </c>
      <c r="G8" s="35">
        <f t="shared" si="0"/>
        <v>77071.5</v>
      </c>
    </row>
    <row r="9" spans="1:8" ht="18" customHeight="1" x14ac:dyDescent="0.25">
      <c r="A9" s="7" t="s">
        <v>111</v>
      </c>
      <c r="B9" s="11" t="s">
        <v>297</v>
      </c>
      <c r="C9" s="94"/>
      <c r="D9" s="95"/>
      <c r="E9" s="35">
        <f>'App9. Data for tables'!$C$21</f>
        <v>500</v>
      </c>
      <c r="F9" s="95">
        <f>'App9. Data for tables'!$C$78</f>
        <v>11</v>
      </c>
      <c r="G9" s="35">
        <f t="shared" si="0"/>
        <v>5500</v>
      </c>
      <c r="H9" s="195"/>
    </row>
    <row r="10" spans="1:8" ht="18" customHeight="1" x14ac:dyDescent="0.25">
      <c r="A10" s="7" t="s">
        <v>111</v>
      </c>
      <c r="B10" s="100" t="s">
        <v>14</v>
      </c>
      <c r="C10" s="35"/>
      <c r="D10" s="35"/>
      <c r="E10" s="35">
        <f>'App9. Data for tables'!C22</f>
        <v>3500</v>
      </c>
      <c r="F10" s="95">
        <f>'App9. Data for tables'!$C$78</f>
        <v>11</v>
      </c>
      <c r="G10" s="35">
        <f t="shared" si="0"/>
        <v>38500</v>
      </c>
      <c r="H10" s="195"/>
    </row>
    <row r="11" spans="1:8" ht="18" customHeight="1" x14ac:dyDescent="0.25">
      <c r="A11" s="7" t="s">
        <v>111</v>
      </c>
      <c r="B11" s="11" t="s">
        <v>253</v>
      </c>
      <c r="C11" s="94"/>
      <c r="D11" s="111"/>
      <c r="E11" s="35">
        <f>'App9. Data for tables'!$C$27</f>
        <v>2700</v>
      </c>
      <c r="F11" s="95">
        <f>'App9. Data for tables'!$C$78</f>
        <v>11</v>
      </c>
      <c r="G11" s="35">
        <f t="shared" si="0"/>
        <v>29700</v>
      </c>
    </row>
    <row r="12" spans="1:8" ht="18" customHeight="1" x14ac:dyDescent="0.25">
      <c r="A12" s="7" t="s">
        <v>111</v>
      </c>
      <c r="B12" s="11" t="s">
        <v>254</v>
      </c>
      <c r="C12" s="94"/>
      <c r="D12" s="111"/>
      <c r="E12" s="35">
        <f>'App9. Data for tables'!$C$28*'App9. Data for tables'!$C$29</f>
        <v>1131.5</v>
      </c>
      <c r="F12" s="95">
        <f>'App9. Data for tables'!$C$78</f>
        <v>11</v>
      </c>
      <c r="G12" s="35">
        <f t="shared" si="0"/>
        <v>12446.5</v>
      </c>
      <c r="H12" s="195"/>
    </row>
    <row r="13" spans="1:8" ht="18" customHeight="1" x14ac:dyDescent="0.25">
      <c r="A13" s="7" t="s">
        <v>111</v>
      </c>
      <c r="B13" s="11" t="s">
        <v>112</v>
      </c>
      <c r="C13" s="35"/>
      <c r="D13" s="35"/>
      <c r="E13" s="35">
        <f>'App9. Data for tables'!$C$30+'App9. Data for tables'!$C$31</f>
        <v>0</v>
      </c>
      <c r="F13" s="95">
        <f>'App9. Data for tables'!$C$78</f>
        <v>11</v>
      </c>
      <c r="G13" s="35">
        <f t="shared" si="0"/>
        <v>0</v>
      </c>
    </row>
    <row r="14" spans="1:8" ht="18" customHeight="1" x14ac:dyDescent="0.25">
      <c r="A14" s="7" t="s">
        <v>111</v>
      </c>
      <c r="B14" s="11" t="s">
        <v>113</v>
      </c>
      <c r="C14" s="35"/>
      <c r="D14" s="35"/>
      <c r="E14" s="94">
        <f>'App9. Data for tables'!$C$32</f>
        <v>0</v>
      </c>
      <c r="F14" s="95">
        <f>'App9. Data for tables'!$C$78</f>
        <v>11</v>
      </c>
      <c r="G14" s="35">
        <f t="shared" si="0"/>
        <v>0</v>
      </c>
    </row>
    <row r="15" spans="1:8" ht="18" customHeight="1" x14ac:dyDescent="0.25">
      <c r="A15" s="7" t="s">
        <v>111</v>
      </c>
      <c r="B15" s="11" t="s">
        <v>114</v>
      </c>
      <c r="C15" s="94"/>
      <c r="D15" s="95"/>
      <c r="E15" s="35">
        <f>('App9. Data for tables'!$C$33*'App9. Data for tables'!$C$34)+('App9. Data for tables'!$C$35*'App9. Data for tables'!$C$36)+('App9. Data for tables'!$C$37*'App9. Data for tables'!$C$38)</f>
        <v>324.45</v>
      </c>
      <c r="F15" s="95">
        <f>'App9. Data for tables'!$C$78</f>
        <v>11</v>
      </c>
      <c r="G15" s="35">
        <f t="shared" si="0"/>
        <v>3568.95</v>
      </c>
      <c r="H15" s="195"/>
    </row>
    <row r="16" spans="1:8" ht="18" customHeight="1" x14ac:dyDescent="0.25">
      <c r="A16" s="7" t="s">
        <v>111</v>
      </c>
      <c r="B16" s="11" t="s">
        <v>346</v>
      </c>
      <c r="C16" s="196"/>
      <c r="D16" s="95"/>
      <c r="E16" s="35">
        <f>('App9. Data for tables'!$C$39*'App9. Data for tables'!$C$40)+('App9. Data for tables'!$C$41*'App9. Data for tables'!$C$42)</f>
        <v>0</v>
      </c>
      <c r="F16" s="95">
        <f>'App9. Data for tables'!$C$78</f>
        <v>11</v>
      </c>
      <c r="G16" s="35">
        <f t="shared" si="0"/>
        <v>0</v>
      </c>
      <c r="H16" s="35"/>
    </row>
    <row r="17" spans="1:16" ht="18" customHeight="1" x14ac:dyDescent="0.25">
      <c r="A17" s="7" t="s">
        <v>111</v>
      </c>
      <c r="B17" s="11" t="s">
        <v>347</v>
      </c>
      <c r="C17" s="35"/>
      <c r="D17" s="35"/>
      <c r="E17" s="94">
        <f>'App9. Data for tables'!$C$43</f>
        <v>550</v>
      </c>
      <c r="F17" s="95">
        <f>'App9. Data for tables'!$C$78</f>
        <v>11</v>
      </c>
      <c r="G17" s="35">
        <f t="shared" si="0"/>
        <v>6050</v>
      </c>
      <c r="H17" s="197"/>
    </row>
    <row r="18" spans="1:16" ht="18" customHeight="1" x14ac:dyDescent="0.25">
      <c r="A18" s="7" t="s">
        <v>111</v>
      </c>
      <c r="B18" s="11" t="s">
        <v>349</v>
      </c>
      <c r="C18" s="35"/>
      <c r="D18" s="95"/>
      <c r="E18" s="94">
        <f>'App9. Data for tables'!$C$44*'App9. Data for tables'!$C$45</f>
        <v>181.04</v>
      </c>
      <c r="F18" s="95">
        <f>'App9. Data for tables'!$C$78</f>
        <v>11</v>
      </c>
      <c r="G18" s="35">
        <f t="shared" ref="G18" si="1">E18*F18</f>
        <v>1991.4399999999998</v>
      </c>
    </row>
    <row r="19" spans="1:16" ht="18" customHeight="1" x14ac:dyDescent="0.25">
      <c r="A19" s="7" t="s">
        <v>111</v>
      </c>
      <c r="B19" s="11" t="s">
        <v>351</v>
      </c>
      <c r="C19" s="35"/>
      <c r="D19" s="35"/>
      <c r="E19" s="94">
        <f>'App9. Data for tables'!$C$46</f>
        <v>70</v>
      </c>
      <c r="F19" s="95">
        <f>'App9. Data for tables'!$C$78</f>
        <v>11</v>
      </c>
      <c r="G19" s="35">
        <f t="shared" si="0"/>
        <v>770</v>
      </c>
      <c r="H19" s="170"/>
    </row>
    <row r="20" spans="1:16" ht="18" customHeight="1" x14ac:dyDescent="0.25">
      <c r="A20" s="7" t="s">
        <v>111</v>
      </c>
      <c r="B20" s="11" t="s">
        <v>352</v>
      </c>
      <c r="C20" s="35"/>
      <c r="D20" s="35"/>
      <c r="E20" s="94">
        <f>('App9. Data for tables'!$C$47*'App9. Data for tables'!$C$48)</f>
        <v>113.14999999999999</v>
      </c>
      <c r="F20" s="95">
        <f>'App9. Data for tables'!$C$78</f>
        <v>11</v>
      </c>
      <c r="G20" s="35">
        <f t="shared" si="0"/>
        <v>1244.6499999999999</v>
      </c>
      <c r="H20" s="170"/>
    </row>
    <row r="21" spans="1:16" ht="18" customHeight="1" x14ac:dyDescent="0.25">
      <c r="A21" s="7" t="s">
        <v>111</v>
      </c>
      <c r="B21" s="11" t="s">
        <v>115</v>
      </c>
      <c r="C21" s="94"/>
      <c r="D21" s="111"/>
      <c r="E21" s="35">
        <f>'App9. Data for tables'!$C$49</f>
        <v>155</v>
      </c>
      <c r="F21" s="95">
        <f>'App9. Data for tables'!$C$78</f>
        <v>11</v>
      </c>
      <c r="G21" s="35">
        <f t="shared" si="0"/>
        <v>1705</v>
      </c>
      <c r="H21" s="197"/>
    </row>
    <row r="22" spans="1:16" ht="18" customHeight="1" x14ac:dyDescent="0.25">
      <c r="A22" s="7" t="s">
        <v>111</v>
      </c>
      <c r="B22" s="11" t="s">
        <v>116</v>
      </c>
      <c r="C22" s="35"/>
      <c r="D22" s="95"/>
      <c r="E22" s="94">
        <f>'App9. Data for tables'!$C$50</f>
        <v>120</v>
      </c>
      <c r="F22" s="95">
        <f>'App9. Data for tables'!$C$78</f>
        <v>11</v>
      </c>
      <c r="G22" s="35">
        <f t="shared" si="0"/>
        <v>1320</v>
      </c>
    </row>
    <row r="23" spans="1:16" ht="18" customHeight="1" x14ac:dyDescent="0.25">
      <c r="A23" s="7" t="s">
        <v>111</v>
      </c>
      <c r="B23" s="11" t="s">
        <v>353</v>
      </c>
      <c r="C23" s="35"/>
      <c r="D23" s="95"/>
      <c r="E23" s="94">
        <f>('App9. Data for tables'!$C$51*'App9. Data for tables'!$C$52)</f>
        <v>226.29999999999998</v>
      </c>
      <c r="F23" s="95">
        <f>'App9. Data for tables'!$C$78</f>
        <v>11</v>
      </c>
      <c r="G23" s="35">
        <f t="shared" si="0"/>
        <v>2489.2999999999997</v>
      </c>
    </row>
    <row r="24" spans="1:16" ht="18" customHeight="1" x14ac:dyDescent="0.25">
      <c r="A24" s="7" t="s">
        <v>111</v>
      </c>
      <c r="B24" s="11" t="s">
        <v>355</v>
      </c>
      <c r="C24" s="35"/>
      <c r="D24" s="95"/>
      <c r="E24" s="94">
        <f>SUM('App9. Data for tables'!$C$56:$C$60)</f>
        <v>250</v>
      </c>
      <c r="F24" s="95">
        <f>'App9. Data for tables'!$C$78</f>
        <v>11</v>
      </c>
      <c r="G24" s="35">
        <f t="shared" si="0"/>
        <v>2750</v>
      </c>
    </row>
    <row r="25" spans="1:16" ht="18" customHeight="1" x14ac:dyDescent="0.25">
      <c r="A25" s="7" t="s">
        <v>111</v>
      </c>
      <c r="B25" s="11" t="s">
        <v>357</v>
      </c>
      <c r="C25" s="35"/>
      <c r="D25" s="95"/>
      <c r="E25" s="94">
        <f>'App9. Data for tables'!$C$61</f>
        <v>180</v>
      </c>
      <c r="F25" s="95">
        <f>'App9. Data for tables'!$C$78</f>
        <v>11</v>
      </c>
      <c r="G25" s="35">
        <f t="shared" si="0"/>
        <v>1980</v>
      </c>
      <c r="I25" s="10"/>
      <c r="J25" s="10"/>
      <c r="K25" s="10"/>
      <c r="L25" s="10"/>
      <c r="M25" s="10"/>
      <c r="N25" s="10"/>
      <c r="O25" s="10"/>
      <c r="P25" s="10"/>
    </row>
    <row r="26" spans="1:16" ht="18" customHeight="1" x14ac:dyDescent="0.25">
      <c r="A26" s="7" t="s">
        <v>111</v>
      </c>
      <c r="B26" s="11" t="s">
        <v>218</v>
      </c>
      <c r="C26" s="94"/>
      <c r="D26" s="111"/>
      <c r="E26" s="35">
        <f>'App9. Data for tables'!$C$66</f>
        <v>100</v>
      </c>
      <c r="F26" s="95">
        <f>'App9. Data for tables'!$C$78</f>
        <v>11</v>
      </c>
      <c r="G26" s="35">
        <f t="shared" si="0"/>
        <v>1100</v>
      </c>
      <c r="H26" s="197"/>
      <c r="I26" s="10"/>
      <c r="J26" s="10"/>
      <c r="K26" s="10"/>
      <c r="L26" s="10"/>
      <c r="M26" s="10"/>
      <c r="N26" s="10"/>
      <c r="O26" s="10"/>
      <c r="P26" s="10"/>
    </row>
    <row r="27" spans="1:16" ht="18" customHeight="1" x14ac:dyDescent="0.25">
      <c r="A27" s="7" t="s">
        <v>111</v>
      </c>
      <c r="B27" s="11" t="s">
        <v>28</v>
      </c>
      <c r="C27" s="35"/>
      <c r="D27" s="95"/>
      <c r="E27" s="94">
        <f>'App9. Data for tables'!$C$67</f>
        <v>190</v>
      </c>
      <c r="F27" s="95">
        <f>'App9. Data for tables'!$C$78</f>
        <v>11</v>
      </c>
      <c r="G27" s="35">
        <f t="shared" si="0"/>
        <v>2090</v>
      </c>
      <c r="I27" s="10"/>
      <c r="J27" s="10"/>
      <c r="K27" s="10"/>
      <c r="L27" s="10"/>
      <c r="M27" s="10"/>
      <c r="N27" s="10"/>
      <c r="O27" s="10"/>
      <c r="P27" s="10"/>
    </row>
    <row r="28" spans="1:16" ht="18" customHeight="1" x14ac:dyDescent="0.25">
      <c r="A28" s="7" t="s">
        <v>111</v>
      </c>
      <c r="B28" s="11" t="s">
        <v>29</v>
      </c>
      <c r="C28" s="35"/>
      <c r="D28" s="95"/>
      <c r="E28" s="94">
        <f>'App9. Data for tables'!$C$69</f>
        <v>120</v>
      </c>
      <c r="F28" s="95">
        <f>'App9. Data for tables'!$C$78</f>
        <v>11</v>
      </c>
      <c r="G28" s="35">
        <f t="shared" si="0"/>
        <v>1320</v>
      </c>
      <c r="H28" s="195"/>
      <c r="I28" s="10"/>
      <c r="J28" s="10"/>
      <c r="K28" s="10"/>
      <c r="L28" s="10"/>
      <c r="M28" s="10"/>
      <c r="N28" s="10"/>
      <c r="O28" s="10"/>
      <c r="P28" s="10"/>
    </row>
    <row r="29" spans="1:16" ht="18" customHeight="1" x14ac:dyDescent="0.25">
      <c r="A29" s="7" t="s">
        <v>111</v>
      </c>
      <c r="B29" s="11" t="s">
        <v>361</v>
      </c>
      <c r="C29" s="35"/>
      <c r="D29" s="95"/>
      <c r="E29" s="94">
        <f>'App9. Data for tables'!$C$70+'App9. Data for tables'!$C$71</f>
        <v>425</v>
      </c>
      <c r="F29" s="95">
        <f>'App9. Data for tables'!$C$78</f>
        <v>11</v>
      </c>
      <c r="G29" s="35">
        <f t="shared" si="0"/>
        <v>4675</v>
      </c>
      <c r="I29" s="10"/>
      <c r="J29" s="10"/>
      <c r="K29" s="10"/>
      <c r="L29" s="10"/>
      <c r="M29" s="10"/>
      <c r="N29" s="10"/>
      <c r="O29" s="10"/>
      <c r="P29" s="10"/>
    </row>
    <row r="30" spans="1:16" ht="18" customHeight="1" x14ac:dyDescent="0.25">
      <c r="A30" s="7" t="s">
        <v>111</v>
      </c>
      <c r="B30" s="11" t="s">
        <v>120</v>
      </c>
      <c r="C30" s="35"/>
      <c r="D30" s="95"/>
      <c r="E30" s="94">
        <f>'App9. Data for tables'!$C$72</f>
        <v>700</v>
      </c>
      <c r="F30" s="95">
        <f>'App9. Data for tables'!$C$78</f>
        <v>11</v>
      </c>
      <c r="G30" s="35">
        <f t="shared" si="0"/>
        <v>7700</v>
      </c>
      <c r="I30" s="10"/>
      <c r="J30" s="10"/>
      <c r="K30" s="10"/>
      <c r="L30" s="10"/>
      <c r="M30" s="10"/>
      <c r="N30" s="10"/>
      <c r="O30" s="10"/>
      <c r="P30" s="10"/>
    </row>
    <row r="31" spans="1:16" ht="36" customHeight="1" x14ac:dyDescent="0.25">
      <c r="A31" s="10" t="s">
        <v>16</v>
      </c>
      <c r="B31" s="11" t="s">
        <v>114</v>
      </c>
      <c r="C31" s="94"/>
      <c r="D31" s="95"/>
      <c r="E31" s="35">
        <f>('App9. Data for tables'!$D$33*'App9. Data for tables'!$D$34)+('App9. Data for tables'!$D$35*'App9. Data for tables'!$D$36)+('App9. Data for tables'!$D$37*'App9. Data for tables'!$D$38)</f>
        <v>540.75</v>
      </c>
      <c r="F31" s="95">
        <f>'App9. Data for tables'!$D$78</f>
        <v>11</v>
      </c>
      <c r="G31" s="35">
        <f t="shared" si="0"/>
        <v>5948.25</v>
      </c>
      <c r="H31" s="35"/>
      <c r="I31" s="96"/>
      <c r="J31" s="68"/>
      <c r="K31" s="97"/>
      <c r="L31" s="96"/>
      <c r="M31" s="68"/>
      <c r="N31" s="97"/>
      <c r="O31" s="96"/>
      <c r="P31" s="68"/>
    </row>
    <row r="32" spans="1:16" ht="18" customHeight="1" x14ac:dyDescent="0.25">
      <c r="A32" s="10" t="s">
        <v>16</v>
      </c>
      <c r="B32" s="11" t="s">
        <v>346</v>
      </c>
      <c r="C32" s="196"/>
      <c r="D32" s="95"/>
      <c r="E32" s="35">
        <f>('App9. Data for tables'!$D$39*'App9. Data for tables'!$D$40)+('App9. Data for tables'!$D$41*'App9. Data for tables'!$D$42)</f>
        <v>0</v>
      </c>
      <c r="F32" s="95">
        <f>'App9. Data for tables'!$D$78</f>
        <v>11</v>
      </c>
      <c r="G32" s="35">
        <f t="shared" ref="G32:G46" si="2">E32*F32</f>
        <v>0</v>
      </c>
      <c r="H32" s="35"/>
      <c r="I32" s="10"/>
      <c r="J32" s="10"/>
      <c r="K32" s="10"/>
      <c r="L32" s="10"/>
      <c r="M32" s="10"/>
      <c r="N32" s="10"/>
      <c r="O32" s="10"/>
      <c r="P32" s="10"/>
    </row>
    <row r="33" spans="1:16" ht="18" customHeight="1" x14ac:dyDescent="0.25">
      <c r="A33" s="10" t="s">
        <v>16</v>
      </c>
      <c r="B33" s="11" t="s">
        <v>347</v>
      </c>
      <c r="C33" s="35"/>
      <c r="D33" s="35"/>
      <c r="E33" s="94">
        <f>'App9. Data for tables'!$D$43</f>
        <v>1000</v>
      </c>
      <c r="F33" s="95">
        <f>'App9. Data for tables'!$D$78</f>
        <v>11</v>
      </c>
      <c r="G33" s="35">
        <f t="shared" si="2"/>
        <v>11000</v>
      </c>
      <c r="H33" s="170"/>
      <c r="I33" s="10"/>
      <c r="J33" s="97"/>
      <c r="K33" s="10"/>
      <c r="L33" s="10"/>
      <c r="M33" s="97"/>
      <c r="N33" s="10"/>
      <c r="O33" s="10"/>
      <c r="P33" s="97"/>
    </row>
    <row r="34" spans="1:16" ht="18" customHeight="1" x14ac:dyDescent="0.25">
      <c r="A34" s="10" t="s">
        <v>16</v>
      </c>
      <c r="B34" s="11" t="s">
        <v>349</v>
      </c>
      <c r="C34" s="35"/>
      <c r="D34" s="95"/>
      <c r="E34" s="94">
        <f>'App9. Data for tables'!$D$44*'App9. Data for tables'!$D$45</f>
        <v>181.04</v>
      </c>
      <c r="F34" s="95">
        <f>'App9. Data for tables'!$C$78</f>
        <v>11</v>
      </c>
      <c r="G34" s="35">
        <f t="shared" si="2"/>
        <v>1991.4399999999998</v>
      </c>
    </row>
    <row r="35" spans="1:16" ht="18" customHeight="1" x14ac:dyDescent="0.25">
      <c r="A35" s="10" t="s">
        <v>16</v>
      </c>
      <c r="B35" s="11" t="s">
        <v>351</v>
      </c>
      <c r="C35" s="35"/>
      <c r="D35" s="35"/>
      <c r="E35" s="94">
        <f>'App9. Data for tables'!$D$46</f>
        <v>140</v>
      </c>
      <c r="F35" s="95">
        <f>'App9. Data for tables'!$D$78</f>
        <v>11</v>
      </c>
      <c r="G35" s="35">
        <f t="shared" si="2"/>
        <v>1540</v>
      </c>
      <c r="H35" s="170"/>
      <c r="I35" s="10"/>
      <c r="J35" s="97"/>
      <c r="K35" s="10"/>
      <c r="L35" s="10"/>
      <c r="M35" s="97"/>
      <c r="N35" s="10"/>
      <c r="O35" s="10"/>
      <c r="P35" s="97"/>
    </row>
    <row r="36" spans="1:16" ht="18" customHeight="1" x14ac:dyDescent="0.25">
      <c r="A36" s="10" t="s">
        <v>16</v>
      </c>
      <c r="B36" s="11" t="s">
        <v>352</v>
      </c>
      <c r="C36" s="35"/>
      <c r="D36" s="35"/>
      <c r="E36" s="94">
        <f>('App9. Data for tables'!$D$47*'App9. Data for tables'!$D$48)</f>
        <v>113.14999999999999</v>
      </c>
      <c r="F36" s="95">
        <f>'App9. Data for tables'!$D$78</f>
        <v>11</v>
      </c>
      <c r="G36" s="35">
        <f t="shared" si="2"/>
        <v>1244.6499999999999</v>
      </c>
      <c r="H36" s="170"/>
      <c r="I36" s="10"/>
      <c r="J36" s="97"/>
      <c r="K36" s="10"/>
      <c r="L36" s="10"/>
      <c r="M36" s="97"/>
      <c r="N36" s="10"/>
      <c r="O36" s="10"/>
      <c r="P36" s="97"/>
    </row>
    <row r="37" spans="1:16" ht="18" customHeight="1" x14ac:dyDescent="0.25">
      <c r="A37" s="10" t="s">
        <v>16</v>
      </c>
      <c r="B37" s="11" t="s">
        <v>115</v>
      </c>
      <c r="C37" s="94"/>
      <c r="D37" s="111"/>
      <c r="E37" s="35">
        <f>'App9. Data for tables'!$D$49</f>
        <v>155</v>
      </c>
      <c r="F37" s="95">
        <f>'App9. Data for tables'!$D$78</f>
        <v>11</v>
      </c>
      <c r="G37" s="35">
        <f t="shared" si="2"/>
        <v>1705</v>
      </c>
      <c r="I37" s="10"/>
      <c r="J37" s="10"/>
      <c r="K37" s="10"/>
      <c r="L37" s="10"/>
      <c r="M37" s="10"/>
      <c r="N37" s="198"/>
      <c r="O37" s="96"/>
      <c r="P37" s="68"/>
    </row>
    <row r="38" spans="1:16" ht="18" customHeight="1" x14ac:dyDescent="0.25">
      <c r="A38" s="10" t="s">
        <v>16</v>
      </c>
      <c r="B38" s="11" t="s">
        <v>116</v>
      </c>
      <c r="C38" s="35"/>
      <c r="D38" s="95"/>
      <c r="E38" s="94">
        <f>'App9. Data for tables'!$D$50</f>
        <v>120</v>
      </c>
      <c r="F38" s="95">
        <f>'App9. Data for tables'!$D$78</f>
        <v>11</v>
      </c>
      <c r="G38" s="35">
        <f t="shared" si="2"/>
        <v>1320</v>
      </c>
      <c r="I38" s="10"/>
      <c r="J38" s="10"/>
      <c r="K38" s="10"/>
      <c r="L38" s="10"/>
      <c r="M38" s="10"/>
      <c r="N38" s="10"/>
      <c r="O38" s="10"/>
      <c r="P38" s="10"/>
    </row>
    <row r="39" spans="1:16" ht="18" customHeight="1" x14ac:dyDescent="0.25">
      <c r="A39" s="10" t="s">
        <v>16</v>
      </c>
      <c r="B39" s="11" t="s">
        <v>353</v>
      </c>
      <c r="C39" s="35"/>
      <c r="D39" s="95"/>
      <c r="E39" s="94">
        <f>('App9. Data for tables'!$D$51*'App9. Data for tables'!$D$52)</f>
        <v>226.29999999999998</v>
      </c>
      <c r="F39" s="95">
        <f>'App9. Data for tables'!$D$78</f>
        <v>11</v>
      </c>
      <c r="G39" s="35">
        <f t="shared" si="2"/>
        <v>2489.2999999999997</v>
      </c>
      <c r="I39" s="10"/>
      <c r="J39" s="10"/>
      <c r="K39" s="10"/>
      <c r="L39" s="10"/>
      <c r="M39" s="10"/>
      <c r="N39" s="10"/>
      <c r="O39" s="10"/>
      <c r="P39" s="10"/>
    </row>
    <row r="40" spans="1:16" ht="18" customHeight="1" x14ac:dyDescent="0.25">
      <c r="A40" s="10" t="s">
        <v>16</v>
      </c>
      <c r="B40" s="11" t="s">
        <v>355</v>
      </c>
      <c r="C40" s="35"/>
      <c r="D40" s="95"/>
      <c r="E40" s="94">
        <f>SUM('App9. Data for tables'!$D$56:$D$60)</f>
        <v>250</v>
      </c>
      <c r="F40" s="95">
        <f>'App9. Data for tables'!$D$78</f>
        <v>11</v>
      </c>
      <c r="G40" s="35">
        <f t="shared" si="2"/>
        <v>2750</v>
      </c>
      <c r="I40" s="10"/>
      <c r="J40" s="10"/>
      <c r="K40" s="10"/>
      <c r="L40" s="10"/>
      <c r="M40" s="10"/>
      <c r="N40" s="10"/>
      <c r="O40" s="10"/>
      <c r="P40" s="97"/>
    </row>
    <row r="41" spans="1:16" ht="18" customHeight="1" x14ac:dyDescent="0.25">
      <c r="A41" s="10" t="s">
        <v>16</v>
      </c>
      <c r="B41" s="11" t="s">
        <v>357</v>
      </c>
      <c r="C41" s="35"/>
      <c r="D41" s="95"/>
      <c r="E41" s="94">
        <f>'App9. Data for tables'!$D$61</f>
        <v>135</v>
      </c>
      <c r="F41" s="95">
        <f>'App9. Data for tables'!$D$78</f>
        <v>11</v>
      </c>
      <c r="G41" s="35">
        <f t="shared" si="2"/>
        <v>1485</v>
      </c>
      <c r="I41" s="10"/>
      <c r="J41" s="10"/>
      <c r="K41" s="10"/>
      <c r="L41" s="10"/>
      <c r="M41" s="10"/>
      <c r="N41" s="10"/>
      <c r="O41" s="10"/>
      <c r="P41" s="97"/>
    </row>
    <row r="42" spans="1:16" ht="18" customHeight="1" x14ac:dyDescent="0.25">
      <c r="A42" s="10" t="s">
        <v>16</v>
      </c>
      <c r="B42" s="11" t="s">
        <v>218</v>
      </c>
      <c r="C42" s="94"/>
      <c r="D42" s="111"/>
      <c r="E42" s="35">
        <f>'App9. Data for tables'!$D$66</f>
        <v>100</v>
      </c>
      <c r="F42" s="95">
        <f>'App9. Data for tables'!$D$78</f>
        <v>11</v>
      </c>
      <c r="G42" s="35">
        <f t="shared" si="2"/>
        <v>1100</v>
      </c>
      <c r="I42" s="10"/>
      <c r="J42" s="10"/>
      <c r="K42" s="10"/>
      <c r="L42" s="10"/>
      <c r="M42" s="10"/>
      <c r="N42" s="198"/>
      <c r="O42" s="96"/>
      <c r="P42" s="68"/>
    </row>
    <row r="43" spans="1:16" ht="18" customHeight="1" x14ac:dyDescent="0.25">
      <c r="A43" s="10" t="s">
        <v>16</v>
      </c>
      <c r="B43" s="11" t="s">
        <v>28</v>
      </c>
      <c r="C43" s="35"/>
      <c r="D43" s="95"/>
      <c r="E43" s="94">
        <f>'App9. Data for tables'!$D$67</f>
        <v>190</v>
      </c>
      <c r="F43" s="95">
        <f>'App9. Data for tables'!$D$78</f>
        <v>11</v>
      </c>
      <c r="G43" s="35">
        <f t="shared" si="2"/>
        <v>2090</v>
      </c>
      <c r="I43" s="10"/>
      <c r="J43" s="10"/>
      <c r="K43" s="10"/>
      <c r="L43" s="10"/>
      <c r="M43" s="10"/>
      <c r="N43" s="10"/>
      <c r="O43" s="10"/>
      <c r="P43" s="10"/>
    </row>
    <row r="44" spans="1:16" ht="18" customHeight="1" x14ac:dyDescent="0.25">
      <c r="A44" s="10" t="s">
        <v>16</v>
      </c>
      <c r="B44" s="11" t="s">
        <v>29</v>
      </c>
      <c r="C44" s="35"/>
      <c r="D44" s="95"/>
      <c r="E44" s="94">
        <f>'App9. Data for tables'!$D$69</f>
        <v>120</v>
      </c>
      <c r="F44" s="95">
        <f>'App9. Data for tables'!$D$78</f>
        <v>11</v>
      </c>
      <c r="G44" s="35">
        <f t="shared" si="2"/>
        <v>1320</v>
      </c>
      <c r="I44" s="10"/>
      <c r="J44" s="10"/>
      <c r="K44" s="10"/>
      <c r="L44" s="10"/>
      <c r="M44" s="10"/>
      <c r="N44" s="10"/>
      <c r="O44" s="10"/>
      <c r="P44" s="10"/>
    </row>
    <row r="45" spans="1:16" ht="18" customHeight="1" x14ac:dyDescent="0.25">
      <c r="A45" s="10" t="s">
        <v>16</v>
      </c>
      <c r="B45" s="11" t="s">
        <v>361</v>
      </c>
      <c r="C45" s="35"/>
      <c r="D45" s="95"/>
      <c r="E45" s="94">
        <f>'App9. Data for tables'!$D$70+'App9. Data for tables'!$D$71</f>
        <v>425</v>
      </c>
      <c r="F45" s="95">
        <f>'App9. Data for tables'!$D$78</f>
        <v>11</v>
      </c>
      <c r="G45" s="35">
        <f t="shared" si="2"/>
        <v>4675</v>
      </c>
      <c r="I45" s="10"/>
      <c r="J45" s="10"/>
      <c r="K45" s="10"/>
      <c r="L45" s="10"/>
      <c r="M45" s="10"/>
      <c r="N45" s="10"/>
      <c r="O45" s="10"/>
      <c r="P45" s="10"/>
    </row>
    <row r="46" spans="1:16" ht="18" customHeight="1" x14ac:dyDescent="0.25">
      <c r="A46" s="10" t="s">
        <v>16</v>
      </c>
      <c r="B46" s="11" t="s">
        <v>120</v>
      </c>
      <c r="C46" s="35"/>
      <c r="D46" s="95"/>
      <c r="E46" s="94">
        <f>'App9. Data for tables'!$D$72</f>
        <v>700</v>
      </c>
      <c r="F46" s="95">
        <f>'App9. Data for tables'!$D$78</f>
        <v>11</v>
      </c>
      <c r="G46" s="35">
        <f t="shared" si="2"/>
        <v>7700</v>
      </c>
      <c r="I46" s="10"/>
      <c r="J46" s="10"/>
      <c r="K46" s="10"/>
      <c r="L46" s="10"/>
      <c r="M46" s="10"/>
      <c r="N46" s="10"/>
      <c r="O46" s="10"/>
      <c r="P46" s="10"/>
    </row>
    <row r="47" spans="1:16" ht="36" customHeight="1" x14ac:dyDescent="0.25">
      <c r="A47" s="10" t="s">
        <v>17</v>
      </c>
      <c r="B47" s="11" t="s">
        <v>383</v>
      </c>
      <c r="C47" s="35"/>
      <c r="D47" s="35"/>
      <c r="E47" s="94">
        <f>'App9. Data for tables'!$E$23</f>
        <v>3500</v>
      </c>
      <c r="F47" s="95">
        <f>'App9. Data for tables'!$F$78</f>
        <v>11</v>
      </c>
      <c r="G47" s="35">
        <f>E47*F47</f>
        <v>38500</v>
      </c>
      <c r="I47" s="10"/>
      <c r="J47" s="10"/>
      <c r="K47" s="10"/>
      <c r="L47" s="10"/>
      <c r="M47" s="10"/>
      <c r="N47" s="10"/>
      <c r="O47" s="10"/>
      <c r="P47" s="10"/>
    </row>
    <row r="48" spans="1:16" ht="18" customHeight="1" x14ac:dyDescent="0.25">
      <c r="A48" s="10" t="s">
        <v>17</v>
      </c>
      <c r="B48" s="11" t="s">
        <v>384</v>
      </c>
      <c r="C48" s="35"/>
      <c r="D48" s="35"/>
      <c r="E48" s="94">
        <f>'App9. Data for tables'!$E$24</f>
        <v>300</v>
      </c>
      <c r="F48" s="95">
        <f>'App9. Data for tables'!$F$78</f>
        <v>11</v>
      </c>
      <c r="G48" s="35">
        <f>E48*F48</f>
        <v>3300</v>
      </c>
      <c r="I48" s="10"/>
      <c r="J48" s="10"/>
      <c r="K48" s="10"/>
      <c r="L48" s="10"/>
      <c r="M48" s="10"/>
      <c r="N48" s="10"/>
      <c r="O48" s="10"/>
      <c r="P48" s="10"/>
    </row>
    <row r="49" spans="1:16" ht="18" customHeight="1" x14ac:dyDescent="0.25">
      <c r="A49" s="10" t="s">
        <v>17</v>
      </c>
      <c r="B49" s="11" t="s">
        <v>314</v>
      </c>
      <c r="C49" s="35"/>
      <c r="D49" s="35"/>
      <c r="E49" s="94">
        <f>'App9. Data for tables'!$E$25</f>
        <v>0</v>
      </c>
      <c r="F49" s="95">
        <f>'App9. Data for tables'!$F$78</f>
        <v>11</v>
      </c>
      <c r="G49" s="35">
        <f>E49*F49</f>
        <v>0</v>
      </c>
      <c r="I49" s="10"/>
      <c r="J49" s="10"/>
      <c r="K49" s="10"/>
      <c r="L49" s="10"/>
      <c r="M49" s="10"/>
      <c r="N49" s="10"/>
      <c r="O49" s="10"/>
      <c r="P49" s="10"/>
    </row>
    <row r="50" spans="1:16" ht="18" customHeight="1" x14ac:dyDescent="0.25">
      <c r="A50" s="10" t="s">
        <v>17</v>
      </c>
      <c r="B50" s="11" t="s">
        <v>318</v>
      </c>
      <c r="C50" s="35"/>
      <c r="D50" s="35"/>
      <c r="E50" s="94">
        <f>'App9. Data for tables'!$E$26</f>
        <v>0</v>
      </c>
      <c r="F50" s="95">
        <f>'App9. Data for tables'!$F$78</f>
        <v>11</v>
      </c>
      <c r="G50" s="35">
        <f>E50*F50</f>
        <v>0</v>
      </c>
      <c r="I50" s="10"/>
      <c r="J50" s="10"/>
      <c r="K50" s="10"/>
      <c r="L50" s="10"/>
      <c r="M50" s="10"/>
      <c r="N50" s="10"/>
      <c r="O50" s="10"/>
      <c r="P50" s="10"/>
    </row>
    <row r="51" spans="1:16" ht="18" customHeight="1" x14ac:dyDescent="0.25">
      <c r="A51" s="10" t="s">
        <v>17</v>
      </c>
      <c r="B51" s="11" t="s">
        <v>114</v>
      </c>
      <c r="C51" s="94"/>
      <c r="D51" s="95"/>
      <c r="E51" s="35">
        <f>('App9. Data for tables'!$E$33*'App9. Data for tables'!$E$34)+('App9. Data for tables'!$E$35*'App9. Data for tables'!$E$36)+('App9. Data for tables'!$E$37*'App9. Data for tables'!$E$38)</f>
        <v>886.82999999999993</v>
      </c>
      <c r="F51" s="95">
        <f>'App9. Data for tables'!$E$78</f>
        <v>11</v>
      </c>
      <c r="G51" s="35">
        <f t="shared" ref="G51:G72" si="3">E51*F51</f>
        <v>9755.1299999999992</v>
      </c>
      <c r="H51" s="35"/>
      <c r="I51" s="10"/>
      <c r="J51" s="10"/>
      <c r="K51" s="10"/>
      <c r="L51" s="10"/>
      <c r="M51" s="10"/>
      <c r="N51" s="10"/>
      <c r="O51" s="10"/>
      <c r="P51" s="10"/>
    </row>
    <row r="52" spans="1:16" ht="18" customHeight="1" x14ac:dyDescent="0.25">
      <c r="A52" s="10" t="s">
        <v>17</v>
      </c>
      <c r="B52" s="11" t="s">
        <v>346</v>
      </c>
      <c r="C52" s="196"/>
      <c r="D52" s="95"/>
      <c r="E52" s="35">
        <f>('App9. Data for tables'!$E$39*'App9. Data for tables'!$E$40)+('App9. Data for tables'!$E$41*'App9. Data for tables'!$E$42)</f>
        <v>0</v>
      </c>
      <c r="F52" s="95">
        <f>'App9. Data for tables'!$E$78</f>
        <v>11</v>
      </c>
      <c r="G52" s="35">
        <f t="shared" si="3"/>
        <v>0</v>
      </c>
      <c r="H52" s="35"/>
      <c r="I52" s="10"/>
      <c r="J52" s="10"/>
      <c r="K52" s="10"/>
      <c r="L52" s="10"/>
      <c r="M52" s="10"/>
      <c r="N52" s="10"/>
      <c r="O52" s="10"/>
      <c r="P52" s="10"/>
    </row>
    <row r="53" spans="1:16" ht="18" customHeight="1" x14ac:dyDescent="0.25">
      <c r="A53" s="10" t="s">
        <v>17</v>
      </c>
      <c r="B53" s="11" t="s">
        <v>347</v>
      </c>
      <c r="C53" s="35"/>
      <c r="D53" s="35"/>
      <c r="E53" s="94">
        <f>'App9. Data for tables'!$E$43</f>
        <v>1520</v>
      </c>
      <c r="F53" s="95">
        <f>'App9. Data for tables'!$E$78</f>
        <v>11</v>
      </c>
      <c r="G53" s="35">
        <f t="shared" si="3"/>
        <v>16720</v>
      </c>
      <c r="I53" s="10"/>
      <c r="J53" s="10"/>
      <c r="K53" s="10"/>
      <c r="L53" s="10"/>
      <c r="M53" s="10"/>
      <c r="N53" s="10"/>
      <c r="O53" s="10"/>
      <c r="P53" s="10"/>
    </row>
    <row r="54" spans="1:16" ht="18" customHeight="1" x14ac:dyDescent="0.25">
      <c r="A54" s="10" t="s">
        <v>17</v>
      </c>
      <c r="B54" s="11" t="s">
        <v>349</v>
      </c>
      <c r="C54" s="35"/>
      <c r="D54" s="35"/>
      <c r="E54" s="94">
        <f>('App9. Data for tables'!$E$44*'App9. Data for tables'!$E$45)</f>
        <v>294.19</v>
      </c>
      <c r="F54" s="95">
        <f>'App9. Data for tables'!$E$78</f>
        <v>11</v>
      </c>
      <c r="G54" s="35">
        <f t="shared" si="3"/>
        <v>3236.09</v>
      </c>
      <c r="I54" s="10"/>
      <c r="J54" s="10"/>
      <c r="K54" s="10"/>
      <c r="L54" s="10"/>
      <c r="M54" s="10"/>
      <c r="N54" s="10"/>
      <c r="O54" s="10"/>
      <c r="P54" s="10"/>
    </row>
    <row r="55" spans="1:16" ht="18" customHeight="1" x14ac:dyDescent="0.25">
      <c r="A55" s="10" t="s">
        <v>17</v>
      </c>
      <c r="B55" s="11" t="s">
        <v>351</v>
      </c>
      <c r="C55" s="35"/>
      <c r="D55" s="35"/>
      <c r="E55" s="94">
        <f>'App9. Data for tables'!$E$46</f>
        <v>210</v>
      </c>
      <c r="F55" s="95">
        <f>'App9. Data for tables'!$E$78</f>
        <v>11</v>
      </c>
      <c r="G55" s="35">
        <f t="shared" si="3"/>
        <v>2310</v>
      </c>
      <c r="H55" s="170"/>
      <c r="I55" s="10"/>
      <c r="J55" s="97"/>
      <c r="K55" s="10"/>
      <c r="L55" s="10"/>
      <c r="M55" s="97"/>
      <c r="N55" s="10"/>
      <c r="O55" s="10"/>
      <c r="P55" s="97"/>
    </row>
    <row r="56" spans="1:16" ht="18" customHeight="1" x14ac:dyDescent="0.25">
      <c r="A56" s="10" t="s">
        <v>17</v>
      </c>
      <c r="B56" s="11" t="s">
        <v>352</v>
      </c>
      <c r="C56" s="35"/>
      <c r="D56" s="35"/>
      <c r="E56" s="94">
        <f>('App9. Data for tables'!$E$47*'App9. Data for tables'!$E$48)</f>
        <v>113.14999999999999</v>
      </c>
      <c r="F56" s="95">
        <f>'App9. Data for tables'!$E$78</f>
        <v>11</v>
      </c>
      <c r="G56" s="35">
        <f t="shared" si="3"/>
        <v>1244.6499999999999</v>
      </c>
      <c r="H56" s="170"/>
      <c r="I56" s="10"/>
      <c r="J56" s="97"/>
      <c r="K56" s="10"/>
      <c r="L56" s="10"/>
      <c r="M56" s="97"/>
      <c r="N56" s="10"/>
      <c r="O56" s="10"/>
      <c r="P56" s="97"/>
    </row>
    <row r="57" spans="1:16" ht="18" customHeight="1" x14ac:dyDescent="0.25">
      <c r="A57" s="10" t="s">
        <v>17</v>
      </c>
      <c r="B57" s="11" t="s">
        <v>115</v>
      </c>
      <c r="C57" s="94"/>
      <c r="D57" s="111"/>
      <c r="E57" s="35">
        <f>'App9. Data for tables'!$E$49</f>
        <v>155</v>
      </c>
      <c r="F57" s="95">
        <f>'App9. Data for tables'!$E$78</f>
        <v>11</v>
      </c>
      <c r="G57" s="35">
        <f t="shared" si="3"/>
        <v>1705</v>
      </c>
      <c r="I57" s="10"/>
      <c r="J57" s="10"/>
      <c r="K57" s="10"/>
      <c r="L57" s="10"/>
      <c r="M57" s="10"/>
      <c r="N57" s="10"/>
      <c r="O57" s="10"/>
      <c r="P57" s="10"/>
    </row>
    <row r="58" spans="1:16" ht="18" customHeight="1" x14ac:dyDescent="0.25">
      <c r="A58" s="10" t="s">
        <v>17</v>
      </c>
      <c r="B58" s="11" t="s">
        <v>116</v>
      </c>
      <c r="C58" s="35"/>
      <c r="D58" s="35"/>
      <c r="E58" s="94">
        <f>'App9. Data for tables'!$E$50</f>
        <v>120</v>
      </c>
      <c r="F58" s="95">
        <f>'App9. Data for tables'!$E$78</f>
        <v>11</v>
      </c>
      <c r="G58" s="35">
        <f t="shared" si="3"/>
        <v>1320</v>
      </c>
      <c r="I58" s="10"/>
      <c r="J58" s="10"/>
      <c r="K58" s="10"/>
      <c r="L58" s="10"/>
      <c r="M58" s="10"/>
      <c r="N58" s="10"/>
      <c r="O58" s="10"/>
      <c r="P58" s="10"/>
    </row>
    <row r="59" spans="1:16" ht="18" customHeight="1" x14ac:dyDescent="0.25">
      <c r="A59" s="10" t="s">
        <v>17</v>
      </c>
      <c r="B59" s="11" t="s">
        <v>353</v>
      </c>
      <c r="C59" s="35"/>
      <c r="D59" s="35"/>
      <c r="E59" s="94">
        <f>('App9. Data for tables'!$E$51*'App9. Data for tables'!$E$52)</f>
        <v>226.29999999999998</v>
      </c>
      <c r="F59" s="95">
        <f>'App9. Data for tables'!$E$78</f>
        <v>11</v>
      </c>
      <c r="G59" s="35">
        <f t="shared" si="3"/>
        <v>2489.2999999999997</v>
      </c>
      <c r="I59" s="10"/>
      <c r="J59" s="10"/>
      <c r="K59" s="10"/>
      <c r="L59" s="10"/>
      <c r="M59" s="10"/>
      <c r="N59" s="10"/>
      <c r="O59" s="10"/>
      <c r="P59" s="10"/>
    </row>
    <row r="60" spans="1:16" ht="18" customHeight="1" x14ac:dyDescent="0.25">
      <c r="A60" s="10" t="s">
        <v>17</v>
      </c>
      <c r="B60" s="11" t="s">
        <v>24</v>
      </c>
      <c r="C60" s="94"/>
      <c r="D60" s="111"/>
      <c r="E60" s="35">
        <f>'App9. Data for tables'!$E$53*'App9. Data for tables'!$E$54</f>
        <v>195</v>
      </c>
      <c r="F60" s="95">
        <f>'App9. Data for tables'!$F$78</f>
        <v>11</v>
      </c>
      <c r="G60" s="35">
        <f t="shared" si="3"/>
        <v>2145</v>
      </c>
    </row>
    <row r="61" spans="1:16" ht="18" customHeight="1" x14ac:dyDescent="0.25">
      <c r="A61" s="10" t="s">
        <v>17</v>
      </c>
      <c r="B61" s="11" t="s">
        <v>362</v>
      </c>
      <c r="C61" s="94"/>
      <c r="D61" s="94"/>
      <c r="E61" s="94">
        <f>'App9. Data for tables'!$E$55</f>
        <v>4350</v>
      </c>
      <c r="F61" s="95">
        <v>10</v>
      </c>
      <c r="G61" s="35">
        <f>E61*F61</f>
        <v>43500</v>
      </c>
    </row>
    <row r="62" spans="1:16" ht="18" customHeight="1" x14ac:dyDescent="0.25">
      <c r="A62" s="10" t="s">
        <v>17</v>
      </c>
      <c r="B62" s="11" t="s">
        <v>355</v>
      </c>
      <c r="C62" s="35"/>
      <c r="D62" s="35"/>
      <c r="E62" s="94">
        <f>SUM('App9. Data for tables'!$E$56:$E$60)</f>
        <v>285</v>
      </c>
      <c r="F62" s="95">
        <f>'App9. Data for tables'!$E$78</f>
        <v>11</v>
      </c>
      <c r="G62" s="35">
        <f t="shared" si="3"/>
        <v>3135</v>
      </c>
      <c r="I62" s="10"/>
      <c r="J62" s="10"/>
      <c r="K62" s="10"/>
      <c r="L62" s="10"/>
      <c r="M62" s="10"/>
      <c r="N62" s="10"/>
      <c r="O62" s="10"/>
      <c r="P62" s="10"/>
    </row>
    <row r="63" spans="1:16" ht="18" customHeight="1" x14ac:dyDescent="0.25">
      <c r="A63" s="10" t="s">
        <v>17</v>
      </c>
      <c r="B63" s="11" t="s">
        <v>357</v>
      </c>
      <c r="C63" s="35"/>
      <c r="D63" s="35"/>
      <c r="E63" s="94">
        <f>'App9. Data for tables'!$E$61</f>
        <v>140</v>
      </c>
      <c r="F63" s="95">
        <f>'App9. Data for tables'!$E$78</f>
        <v>11</v>
      </c>
      <c r="G63" s="35">
        <f t="shared" si="3"/>
        <v>1540</v>
      </c>
      <c r="I63" s="10"/>
      <c r="J63" s="10"/>
      <c r="K63" s="10"/>
      <c r="L63" s="10"/>
      <c r="M63" s="10"/>
      <c r="N63" s="10"/>
      <c r="O63" s="10"/>
      <c r="P63" s="10"/>
    </row>
    <row r="64" spans="1:16" ht="18" customHeight="1" x14ac:dyDescent="0.25">
      <c r="A64" s="10" t="s">
        <v>17</v>
      </c>
      <c r="B64" s="11" t="s">
        <v>218</v>
      </c>
      <c r="C64" s="94"/>
      <c r="D64" s="111"/>
      <c r="E64" s="35">
        <f>'App9. Data for tables'!$E$66</f>
        <v>100</v>
      </c>
      <c r="F64" s="95">
        <f>'App9. Data for tables'!$E$78</f>
        <v>11</v>
      </c>
      <c r="G64" s="35">
        <f t="shared" si="3"/>
        <v>1100</v>
      </c>
      <c r="I64" s="10"/>
      <c r="J64" s="10"/>
      <c r="K64" s="10"/>
      <c r="L64" s="10"/>
      <c r="M64" s="10"/>
      <c r="N64" s="10"/>
      <c r="O64" s="10"/>
      <c r="P64" s="10"/>
    </row>
    <row r="65" spans="1:16" ht="18" customHeight="1" x14ac:dyDescent="0.25">
      <c r="A65" s="10" t="s">
        <v>17</v>
      </c>
      <c r="B65" s="11" t="s">
        <v>28</v>
      </c>
      <c r="C65" s="35"/>
      <c r="D65" s="95"/>
      <c r="E65" s="94">
        <f>'App9. Data for tables'!$E$67</f>
        <v>190</v>
      </c>
      <c r="F65" s="95">
        <f>'App9. Data for tables'!$E$78</f>
        <v>11</v>
      </c>
      <c r="G65" s="35">
        <f t="shared" si="3"/>
        <v>2090</v>
      </c>
      <c r="I65" s="10"/>
      <c r="J65" s="10"/>
      <c r="K65" s="10"/>
      <c r="L65" s="10"/>
      <c r="M65" s="10"/>
      <c r="N65" s="10"/>
      <c r="O65" s="10"/>
      <c r="P65" s="10"/>
    </row>
    <row r="66" spans="1:16" ht="18" customHeight="1" x14ac:dyDescent="0.25">
      <c r="A66" s="10" t="s">
        <v>17</v>
      </c>
      <c r="B66" s="11" t="s">
        <v>29</v>
      </c>
      <c r="C66" s="35"/>
      <c r="D66" s="35"/>
      <c r="E66" s="94">
        <f>'App9. Data for tables'!$E$69</f>
        <v>120</v>
      </c>
      <c r="F66" s="95">
        <f>'App9. Data for tables'!$E$78</f>
        <v>11</v>
      </c>
      <c r="G66" s="35">
        <f t="shared" si="3"/>
        <v>1320</v>
      </c>
      <c r="I66" s="10"/>
      <c r="J66" s="10"/>
      <c r="K66" s="10"/>
      <c r="L66" s="10"/>
      <c r="M66" s="10"/>
      <c r="N66" s="10"/>
      <c r="O66" s="10"/>
      <c r="P66" s="10"/>
    </row>
    <row r="67" spans="1:16" ht="18" customHeight="1" x14ac:dyDescent="0.25">
      <c r="A67" s="10" t="s">
        <v>17</v>
      </c>
      <c r="B67" s="11" t="s">
        <v>361</v>
      </c>
      <c r="C67" s="35"/>
      <c r="D67" s="35"/>
      <c r="E67" s="94">
        <f>'App9. Data for tables'!$E$70+'App9. Data for tables'!$E$71</f>
        <v>425</v>
      </c>
      <c r="F67" s="95">
        <f>'App9. Data for tables'!$E$78</f>
        <v>11</v>
      </c>
      <c r="G67" s="35">
        <f t="shared" si="3"/>
        <v>4675</v>
      </c>
      <c r="I67" s="10"/>
      <c r="J67" s="10"/>
      <c r="K67" s="10"/>
      <c r="L67" s="10"/>
      <c r="M67" s="10"/>
      <c r="N67" s="10"/>
      <c r="O67" s="10"/>
      <c r="P67" s="10"/>
    </row>
    <row r="68" spans="1:16" ht="18" customHeight="1" x14ac:dyDescent="0.25">
      <c r="A68" s="10" t="s">
        <v>17</v>
      </c>
      <c r="B68" s="11" t="s">
        <v>120</v>
      </c>
      <c r="C68" s="35"/>
      <c r="D68" s="35"/>
      <c r="E68" s="94">
        <f>'App9. Data for tables'!$E$72</f>
        <v>700</v>
      </c>
      <c r="F68" s="95">
        <f>'App9. Data for tables'!$E$78</f>
        <v>11</v>
      </c>
      <c r="G68" s="35">
        <f t="shared" si="3"/>
        <v>7700</v>
      </c>
      <c r="I68" s="10"/>
      <c r="J68" s="10"/>
      <c r="K68" s="10"/>
      <c r="L68" s="10"/>
      <c r="M68" s="10"/>
      <c r="N68" s="10"/>
      <c r="O68" s="10"/>
      <c r="P68" s="10"/>
    </row>
    <row r="69" spans="1:16" ht="18" customHeight="1" x14ac:dyDescent="0.25">
      <c r="A69" s="10" t="s">
        <v>17</v>
      </c>
      <c r="B69" s="11" t="s">
        <v>465</v>
      </c>
      <c r="C69" s="94">
        <f>'App9. Data for tables'!$E$62</f>
        <v>0.34</v>
      </c>
      <c r="D69" s="111">
        <f>'App9. Data for tables'!$E$7</f>
        <v>3000</v>
      </c>
      <c r="E69" s="35">
        <f>C69*D69</f>
        <v>1020.0000000000001</v>
      </c>
      <c r="F69" s="95">
        <f>'App9. Data for tables'!$F$78</f>
        <v>11</v>
      </c>
      <c r="G69" s="35">
        <f t="shared" si="3"/>
        <v>11220.000000000002</v>
      </c>
    </row>
    <row r="70" spans="1:16" ht="18" customHeight="1" x14ac:dyDescent="0.25">
      <c r="A70" s="10" t="s">
        <v>17</v>
      </c>
      <c r="B70" s="11" t="s">
        <v>470</v>
      </c>
      <c r="C70" s="94">
        <f>'App9. Data for tables'!$E$63</f>
        <v>0.15</v>
      </c>
      <c r="D70" s="111">
        <f>'App9. Data for tables'!$E$7</f>
        <v>3000</v>
      </c>
      <c r="E70" s="35">
        <f>C70*D70</f>
        <v>450</v>
      </c>
      <c r="F70" s="95">
        <f>'App9. Data for tables'!$F$78</f>
        <v>11</v>
      </c>
      <c r="G70" s="35">
        <f t="shared" si="3"/>
        <v>4950</v>
      </c>
    </row>
    <row r="71" spans="1:16" ht="18" customHeight="1" x14ac:dyDescent="0.25">
      <c r="A71" s="10" t="s">
        <v>17</v>
      </c>
      <c r="B71" s="11" t="s">
        <v>467</v>
      </c>
      <c r="C71" s="94">
        <f>'App9. Data for tables'!$E$64</f>
        <v>0.05</v>
      </c>
      <c r="D71" s="111">
        <f>'App9. Data for tables'!$E$7</f>
        <v>3000</v>
      </c>
      <c r="E71" s="35">
        <f>C71*D71</f>
        <v>150</v>
      </c>
      <c r="F71" s="95">
        <f>'App9. Data for tables'!$F$78</f>
        <v>11</v>
      </c>
      <c r="G71" s="35">
        <f t="shared" si="3"/>
        <v>1650</v>
      </c>
    </row>
    <row r="72" spans="1:16" ht="18" customHeight="1" x14ac:dyDescent="0.25">
      <c r="A72" s="10" t="s">
        <v>17</v>
      </c>
      <c r="B72" s="7" t="s">
        <v>468</v>
      </c>
      <c r="C72" s="94">
        <f>'App9. Data for tables'!$E$65</f>
        <v>0.9</v>
      </c>
      <c r="D72" s="111">
        <f>'App9. Data for tables'!$E$7</f>
        <v>3000</v>
      </c>
      <c r="E72" s="35">
        <f>C72*D72</f>
        <v>2700</v>
      </c>
      <c r="F72" s="95">
        <f>'App9. Data for tables'!$F$78</f>
        <v>11</v>
      </c>
      <c r="G72" s="35">
        <f t="shared" si="3"/>
        <v>29700</v>
      </c>
    </row>
    <row r="73" spans="1:16" ht="36" customHeight="1" x14ac:dyDescent="0.25">
      <c r="A73" s="10" t="s">
        <v>18</v>
      </c>
      <c r="B73" s="11" t="s">
        <v>384</v>
      </c>
      <c r="C73" s="99"/>
      <c r="D73" s="99"/>
      <c r="E73" s="94">
        <f>'App9. Data for tables'!$F$24</f>
        <v>300</v>
      </c>
      <c r="F73" s="95">
        <f>'App9. Data for tables'!$F$78</f>
        <v>11</v>
      </c>
      <c r="G73" s="35">
        <f>E73*F73</f>
        <v>3300</v>
      </c>
      <c r="I73" s="10"/>
      <c r="J73" s="10"/>
      <c r="K73" s="10"/>
      <c r="L73" s="10"/>
      <c r="M73" s="10"/>
      <c r="N73" s="10"/>
      <c r="O73" s="10"/>
      <c r="P73" s="10"/>
    </row>
    <row r="74" spans="1:16" ht="18" customHeight="1" x14ac:dyDescent="0.25">
      <c r="A74" s="10" t="s">
        <v>18</v>
      </c>
      <c r="B74" s="11" t="s">
        <v>318</v>
      </c>
      <c r="C74" s="35"/>
      <c r="D74" s="35"/>
      <c r="E74" s="94">
        <f>'App9. Data for tables'!$F$26</f>
        <v>0</v>
      </c>
      <c r="F74" s="95">
        <f>'App9. Data for tables'!$F$78</f>
        <v>11</v>
      </c>
      <c r="G74" s="35">
        <f>E74*F74</f>
        <v>0</v>
      </c>
      <c r="I74" s="10"/>
      <c r="J74" s="10"/>
      <c r="K74" s="10"/>
      <c r="L74" s="10"/>
      <c r="M74" s="10"/>
      <c r="N74" s="10"/>
      <c r="O74" s="10"/>
      <c r="P74" s="10"/>
    </row>
    <row r="75" spans="1:16" ht="18" customHeight="1" x14ac:dyDescent="0.25">
      <c r="A75" s="10" t="s">
        <v>18</v>
      </c>
      <c r="B75" s="11" t="s">
        <v>114</v>
      </c>
      <c r="C75" s="94"/>
      <c r="D75" s="95"/>
      <c r="E75" s="35">
        <f>('App9. Data for tables'!$F$33*'App9. Data for tables'!$F$34)+('App9. Data for tables'!$F$35*'App9. Data for tables'!$F$36)+('App9. Data for tables'!$F$37*'App9. Data for tables'!$F$38)</f>
        <v>1232.9099999999999</v>
      </c>
      <c r="F75" s="95">
        <f>'App9. Data for tables'!$F$78</f>
        <v>11</v>
      </c>
      <c r="G75" s="35">
        <f t="shared" ref="G75:G95" si="4">E75*F75</f>
        <v>13562.009999999998</v>
      </c>
      <c r="I75" s="10"/>
      <c r="J75" s="10"/>
      <c r="K75" s="10"/>
      <c r="L75" s="10"/>
      <c r="M75" s="10"/>
      <c r="N75" s="10"/>
      <c r="O75" s="10"/>
      <c r="P75" s="10"/>
    </row>
    <row r="76" spans="1:16" ht="18" customHeight="1" x14ac:dyDescent="0.25">
      <c r="A76" s="10" t="s">
        <v>18</v>
      </c>
      <c r="B76" s="11" t="s">
        <v>346</v>
      </c>
      <c r="C76" s="94"/>
      <c r="D76" s="95"/>
      <c r="E76" s="35">
        <f>('App9. Data for tables'!$F$39*'App9. Data for tables'!$F$40)+('App9. Data for tables'!$F$41*'App9. Data for tables'!$F$42)</f>
        <v>0</v>
      </c>
      <c r="F76" s="95">
        <f>'App9. Data for tables'!$F$78</f>
        <v>11</v>
      </c>
      <c r="G76" s="35">
        <f t="shared" si="4"/>
        <v>0</v>
      </c>
      <c r="I76" s="10"/>
      <c r="J76" s="10"/>
      <c r="K76" s="10"/>
      <c r="L76" s="10"/>
      <c r="M76" s="10"/>
      <c r="N76" s="10"/>
      <c r="O76" s="10"/>
      <c r="P76" s="10"/>
    </row>
    <row r="77" spans="1:16" ht="18" customHeight="1" x14ac:dyDescent="0.25">
      <c r="A77" s="10" t="s">
        <v>18</v>
      </c>
      <c r="B77" s="11" t="s">
        <v>347</v>
      </c>
      <c r="C77" s="35"/>
      <c r="D77" s="35"/>
      <c r="E77" s="94">
        <f>'App9. Data for tables'!$F$43</f>
        <v>1670</v>
      </c>
      <c r="F77" s="95">
        <f>'App9. Data for tables'!$F$78</f>
        <v>11</v>
      </c>
      <c r="G77" s="35">
        <f t="shared" si="4"/>
        <v>18370</v>
      </c>
      <c r="H77" s="195"/>
      <c r="I77" s="10"/>
      <c r="J77" s="10"/>
      <c r="K77" s="10"/>
      <c r="L77" s="10"/>
      <c r="M77" s="10"/>
      <c r="N77" s="10"/>
      <c r="O77" s="10"/>
      <c r="P77" s="10"/>
    </row>
    <row r="78" spans="1:16" ht="18" customHeight="1" x14ac:dyDescent="0.25">
      <c r="A78" s="10" t="s">
        <v>18</v>
      </c>
      <c r="B78" s="11" t="s">
        <v>349</v>
      </c>
      <c r="C78" s="35"/>
      <c r="D78" s="35"/>
      <c r="E78" s="94">
        <f>('App9. Data for tables'!$F$44*'App9. Data for tables'!$F$45)</f>
        <v>407.34</v>
      </c>
      <c r="F78" s="95">
        <f>'App9. Data for tables'!$F$78</f>
        <v>11</v>
      </c>
      <c r="G78" s="35">
        <f t="shared" ref="G78" si="5">E78*F78</f>
        <v>4480.74</v>
      </c>
      <c r="H78" s="195"/>
      <c r="I78" s="10"/>
      <c r="J78" s="10"/>
      <c r="K78" s="10"/>
      <c r="L78" s="10"/>
      <c r="M78" s="10"/>
      <c r="N78" s="10"/>
      <c r="O78" s="10"/>
      <c r="P78" s="10"/>
    </row>
    <row r="79" spans="1:16" ht="18" customHeight="1" x14ac:dyDescent="0.25">
      <c r="A79" s="10" t="s">
        <v>18</v>
      </c>
      <c r="B79" s="11" t="s">
        <v>351</v>
      </c>
      <c r="C79" s="35"/>
      <c r="D79" s="35"/>
      <c r="E79" s="94">
        <f>'App9. Data for tables'!$F$46</f>
        <v>230</v>
      </c>
      <c r="F79" s="95">
        <f>'App9. Data for tables'!$F$78</f>
        <v>11</v>
      </c>
      <c r="G79" s="35">
        <f t="shared" si="4"/>
        <v>2530</v>
      </c>
      <c r="H79" s="170"/>
      <c r="I79" s="10"/>
      <c r="J79" s="97"/>
      <c r="K79" s="10"/>
      <c r="L79" s="10"/>
      <c r="M79" s="97"/>
      <c r="N79" s="10"/>
      <c r="O79" s="10"/>
      <c r="P79" s="97"/>
    </row>
    <row r="80" spans="1:16" ht="18" customHeight="1" x14ac:dyDescent="0.25">
      <c r="A80" s="10" t="s">
        <v>18</v>
      </c>
      <c r="B80" s="11" t="s">
        <v>352</v>
      </c>
      <c r="C80" s="35"/>
      <c r="D80" s="35"/>
      <c r="E80" s="94">
        <f>('App9. Data for tables'!$F$47*'App9. Data for tables'!$F$48)</f>
        <v>181.04</v>
      </c>
      <c r="F80" s="95">
        <f>'App9. Data for tables'!$F$78</f>
        <v>11</v>
      </c>
      <c r="G80" s="35">
        <f t="shared" si="4"/>
        <v>1991.4399999999998</v>
      </c>
      <c r="H80" s="170"/>
      <c r="I80" s="10"/>
      <c r="J80" s="97"/>
      <c r="K80" s="10"/>
      <c r="L80" s="10"/>
      <c r="M80" s="97"/>
      <c r="N80" s="10"/>
      <c r="O80" s="10"/>
      <c r="P80" s="97"/>
    </row>
    <row r="81" spans="1:16" ht="18" customHeight="1" x14ac:dyDescent="0.25">
      <c r="A81" s="10" t="s">
        <v>18</v>
      </c>
      <c r="B81" s="11" t="s">
        <v>115</v>
      </c>
      <c r="C81" s="94"/>
      <c r="D81" s="111"/>
      <c r="E81" s="35">
        <f>'App9. Data for tables'!$F$49</f>
        <v>155</v>
      </c>
      <c r="F81" s="95">
        <f>'App9. Data for tables'!$F$78</f>
        <v>11</v>
      </c>
      <c r="G81" s="35">
        <f t="shared" si="4"/>
        <v>1705</v>
      </c>
      <c r="H81" s="195"/>
      <c r="I81" s="10"/>
      <c r="J81" s="10"/>
      <c r="K81" s="10"/>
      <c r="L81" s="10"/>
      <c r="M81" s="10"/>
      <c r="N81" s="10"/>
      <c r="O81" s="10"/>
      <c r="P81" s="10"/>
    </row>
    <row r="82" spans="1:16" ht="18" customHeight="1" x14ac:dyDescent="0.25">
      <c r="A82" s="10" t="s">
        <v>18</v>
      </c>
      <c r="B82" s="11" t="s">
        <v>116</v>
      </c>
      <c r="C82" s="35"/>
      <c r="D82" s="35"/>
      <c r="E82" s="94">
        <f>'App9. Data for tables'!$F$50</f>
        <v>120</v>
      </c>
      <c r="F82" s="95">
        <f>'App9. Data for tables'!$F$78</f>
        <v>11</v>
      </c>
      <c r="G82" s="35">
        <f t="shared" si="4"/>
        <v>1320</v>
      </c>
      <c r="I82" s="10"/>
      <c r="J82" s="10"/>
      <c r="K82" s="10"/>
      <c r="L82" s="10"/>
      <c r="M82" s="10"/>
      <c r="N82" s="10"/>
      <c r="O82" s="10"/>
      <c r="P82" s="10"/>
    </row>
    <row r="83" spans="1:16" ht="18" customHeight="1" x14ac:dyDescent="0.25">
      <c r="A83" s="10" t="s">
        <v>18</v>
      </c>
      <c r="B83" s="11" t="s">
        <v>353</v>
      </c>
      <c r="C83" s="35"/>
      <c r="D83" s="35"/>
      <c r="E83" s="94">
        <f>('App9. Data for tables'!$F$51*'App9. Data for tables'!$F$52)</f>
        <v>226.29999999999998</v>
      </c>
      <c r="F83" s="95">
        <f>'App9. Data for tables'!$F$78</f>
        <v>11</v>
      </c>
      <c r="G83" s="35">
        <f t="shared" si="4"/>
        <v>2489.2999999999997</v>
      </c>
      <c r="I83" s="10"/>
      <c r="J83" s="10"/>
      <c r="K83" s="10"/>
      <c r="L83" s="10"/>
      <c r="M83" s="10"/>
      <c r="N83" s="10"/>
      <c r="O83" s="10"/>
      <c r="P83" s="10"/>
    </row>
    <row r="84" spans="1:16" ht="18" customHeight="1" x14ac:dyDescent="0.25">
      <c r="A84" s="10" t="s">
        <v>18</v>
      </c>
      <c r="B84" s="11" t="s">
        <v>24</v>
      </c>
      <c r="C84" s="94"/>
      <c r="D84" s="111"/>
      <c r="E84" s="35">
        <f>'App9. Data for tables'!$F$53*'App9. Data for tables'!$F$54</f>
        <v>195</v>
      </c>
      <c r="F84" s="95">
        <f>'App9. Data for tables'!$F$78</f>
        <v>11</v>
      </c>
      <c r="G84" s="35">
        <f t="shared" si="4"/>
        <v>2145</v>
      </c>
    </row>
    <row r="85" spans="1:16" ht="18" customHeight="1" x14ac:dyDescent="0.25">
      <c r="A85" s="10" t="s">
        <v>18</v>
      </c>
      <c r="B85" s="11" t="s">
        <v>355</v>
      </c>
      <c r="C85" s="35"/>
      <c r="D85" s="35"/>
      <c r="E85" s="94">
        <f>SUM('App9. Data for tables'!$F$56:$F$60)</f>
        <v>285</v>
      </c>
      <c r="F85" s="95">
        <f>'App9. Data for tables'!$F$78</f>
        <v>11</v>
      </c>
      <c r="G85" s="35">
        <f t="shared" si="4"/>
        <v>3135</v>
      </c>
    </row>
    <row r="86" spans="1:16" ht="18" customHeight="1" x14ac:dyDescent="0.25">
      <c r="A86" s="10" t="s">
        <v>18</v>
      </c>
      <c r="B86" s="11" t="s">
        <v>357</v>
      </c>
      <c r="C86" s="35"/>
      <c r="D86" s="35"/>
      <c r="E86" s="94">
        <f>'App9. Data for tables'!$F$61</f>
        <v>160</v>
      </c>
      <c r="F86" s="95">
        <f>'App9. Data for tables'!$F$78</f>
        <v>11</v>
      </c>
      <c r="G86" s="35">
        <f t="shared" si="4"/>
        <v>1760</v>
      </c>
    </row>
    <row r="87" spans="1:16" ht="18" customHeight="1" x14ac:dyDescent="0.25">
      <c r="A87" s="10" t="s">
        <v>18</v>
      </c>
      <c r="B87" s="11" t="s">
        <v>218</v>
      </c>
      <c r="C87" s="94"/>
      <c r="D87" s="111"/>
      <c r="E87" s="35">
        <f>'App9. Data for tables'!$F$66</f>
        <v>100</v>
      </c>
      <c r="F87" s="95">
        <f>'App9. Data for tables'!$F$78</f>
        <v>11</v>
      </c>
      <c r="G87" s="35">
        <f t="shared" si="4"/>
        <v>1100</v>
      </c>
      <c r="H87" s="195"/>
    </row>
    <row r="88" spans="1:16" ht="18" customHeight="1" x14ac:dyDescent="0.25">
      <c r="A88" s="10" t="s">
        <v>18</v>
      </c>
      <c r="B88" s="11" t="s">
        <v>28</v>
      </c>
      <c r="C88" s="35"/>
      <c r="D88" s="95"/>
      <c r="E88" s="94">
        <f>'App9. Data for tables'!$F$67</f>
        <v>190</v>
      </c>
      <c r="F88" s="95">
        <f>'App9. Data for tables'!$F$78</f>
        <v>11</v>
      </c>
      <c r="G88" s="35">
        <f t="shared" si="4"/>
        <v>2090</v>
      </c>
    </row>
    <row r="89" spans="1:16" ht="18" customHeight="1" x14ac:dyDescent="0.25">
      <c r="A89" s="10" t="s">
        <v>18</v>
      </c>
      <c r="B89" s="11" t="s">
        <v>29</v>
      </c>
      <c r="C89" s="35"/>
      <c r="D89" s="35"/>
      <c r="E89" s="94">
        <f>'App9. Data for tables'!$F$69</f>
        <v>120</v>
      </c>
      <c r="F89" s="95">
        <f>'App9. Data for tables'!$F$78</f>
        <v>11</v>
      </c>
      <c r="G89" s="35">
        <f t="shared" si="4"/>
        <v>1320</v>
      </c>
    </row>
    <row r="90" spans="1:16" ht="18" customHeight="1" x14ac:dyDescent="0.25">
      <c r="A90" s="10" t="s">
        <v>18</v>
      </c>
      <c r="B90" s="11" t="s">
        <v>361</v>
      </c>
      <c r="C90" s="35"/>
      <c r="D90" s="35"/>
      <c r="E90" s="94">
        <f>'App9. Data for tables'!$F$70+'App9. Data for tables'!$F$71</f>
        <v>425</v>
      </c>
      <c r="F90" s="95">
        <f>'App9. Data for tables'!$F$78</f>
        <v>11</v>
      </c>
      <c r="G90" s="35">
        <f t="shared" si="4"/>
        <v>4675</v>
      </c>
    </row>
    <row r="91" spans="1:16" ht="18" customHeight="1" x14ac:dyDescent="0.25">
      <c r="A91" s="10" t="s">
        <v>18</v>
      </c>
      <c r="B91" s="11" t="s">
        <v>120</v>
      </c>
      <c r="C91" s="35"/>
      <c r="D91" s="35"/>
      <c r="E91" s="94">
        <f>'App9. Data for tables'!$F$72</f>
        <v>700</v>
      </c>
      <c r="F91" s="95">
        <f>'App9. Data for tables'!$F$78</f>
        <v>11</v>
      </c>
      <c r="G91" s="35">
        <f t="shared" si="4"/>
        <v>7700</v>
      </c>
    </row>
    <row r="92" spans="1:16" ht="18" customHeight="1" x14ac:dyDescent="0.25">
      <c r="A92" s="10" t="s">
        <v>18</v>
      </c>
      <c r="B92" s="11" t="s">
        <v>465</v>
      </c>
      <c r="C92" s="94">
        <f>'App9. Data for tables'!$F$62</f>
        <v>0.34</v>
      </c>
      <c r="D92" s="111">
        <f>'App9. Data for tables'!$F$7</f>
        <v>8000</v>
      </c>
      <c r="E92" s="35">
        <f>C92*D92</f>
        <v>2720</v>
      </c>
      <c r="F92" s="95">
        <f>'App9. Data for tables'!$F$78</f>
        <v>11</v>
      </c>
      <c r="G92" s="35">
        <f t="shared" si="4"/>
        <v>29920</v>
      </c>
    </row>
    <row r="93" spans="1:16" ht="18" customHeight="1" x14ac:dyDescent="0.25">
      <c r="A93" s="10" t="s">
        <v>18</v>
      </c>
      <c r="B93" s="11" t="s">
        <v>470</v>
      </c>
      <c r="C93" s="94">
        <f>'App9. Data for tables'!$F$63</f>
        <v>0.15</v>
      </c>
      <c r="D93" s="111">
        <f>'App9. Data for tables'!$F$7</f>
        <v>8000</v>
      </c>
      <c r="E93" s="35">
        <f>C93*D93</f>
        <v>1200</v>
      </c>
      <c r="F93" s="95">
        <f>'App9. Data for tables'!$F$78</f>
        <v>11</v>
      </c>
      <c r="G93" s="35">
        <f t="shared" si="4"/>
        <v>13200</v>
      </c>
    </row>
    <row r="94" spans="1:16" ht="18" customHeight="1" x14ac:dyDescent="0.25">
      <c r="A94" s="10" t="s">
        <v>18</v>
      </c>
      <c r="B94" s="11" t="s">
        <v>467</v>
      </c>
      <c r="C94" s="94">
        <f>'App9. Data for tables'!$F$64</f>
        <v>0.05</v>
      </c>
      <c r="D94" s="111">
        <f>'App9. Data for tables'!$F$7</f>
        <v>8000</v>
      </c>
      <c r="E94" s="35">
        <f>C94*D94</f>
        <v>400</v>
      </c>
      <c r="F94" s="95">
        <f>'App9. Data for tables'!$F$78</f>
        <v>11</v>
      </c>
      <c r="G94" s="35">
        <f t="shared" si="4"/>
        <v>4400</v>
      </c>
    </row>
    <row r="95" spans="1:16" ht="18" customHeight="1" x14ac:dyDescent="0.25">
      <c r="A95" s="10" t="s">
        <v>18</v>
      </c>
      <c r="B95" s="7" t="s">
        <v>468</v>
      </c>
      <c r="C95" s="94">
        <f>'App9. Data for tables'!$F$65</f>
        <v>0.9</v>
      </c>
      <c r="D95" s="111">
        <f>'App9. Data for tables'!$F$7</f>
        <v>8000</v>
      </c>
      <c r="E95" s="35">
        <f>C95*D95</f>
        <v>7200</v>
      </c>
      <c r="F95" s="95">
        <f>'App9. Data for tables'!$F$78</f>
        <v>11</v>
      </c>
      <c r="G95" s="35">
        <f t="shared" si="4"/>
        <v>79200</v>
      </c>
    </row>
    <row r="96" spans="1:16" ht="36" customHeight="1" x14ac:dyDescent="0.25">
      <c r="A96" s="10" t="s">
        <v>19</v>
      </c>
      <c r="B96" s="11" t="s">
        <v>384</v>
      </c>
      <c r="C96" s="35"/>
      <c r="D96" s="35"/>
      <c r="E96" s="94">
        <f>'App9. Data for tables'!$G$24</f>
        <v>300</v>
      </c>
      <c r="F96" s="95">
        <f>'App9. Data for tables'!$G$78</f>
        <v>11</v>
      </c>
      <c r="G96" s="35">
        <f>E96*F96</f>
        <v>3300</v>
      </c>
      <c r="I96" s="10"/>
      <c r="J96" s="10"/>
      <c r="K96" s="10"/>
      <c r="L96" s="10"/>
      <c r="M96" s="10"/>
      <c r="N96" s="10"/>
      <c r="O96" s="10"/>
      <c r="P96" s="10"/>
    </row>
    <row r="97" spans="1:16" ht="18" customHeight="1" x14ac:dyDescent="0.25">
      <c r="A97" s="10" t="s">
        <v>19</v>
      </c>
      <c r="B97" s="11" t="s">
        <v>318</v>
      </c>
      <c r="C97" s="35"/>
      <c r="D97" s="35"/>
      <c r="E97" s="94">
        <f>'App9. Data for tables'!$G$26</f>
        <v>0</v>
      </c>
      <c r="F97" s="95">
        <f>'App9. Data for tables'!$G$78</f>
        <v>11</v>
      </c>
      <c r="G97" s="35">
        <f>E97*F97</f>
        <v>0</v>
      </c>
      <c r="I97" s="10"/>
      <c r="J97" s="10"/>
      <c r="K97" s="10"/>
      <c r="L97" s="10"/>
      <c r="M97" s="10"/>
      <c r="N97" s="10"/>
      <c r="O97" s="10"/>
      <c r="P97" s="10"/>
    </row>
    <row r="98" spans="1:16" ht="18" customHeight="1" x14ac:dyDescent="0.25">
      <c r="A98" s="10" t="s">
        <v>19</v>
      </c>
      <c r="B98" s="11" t="s">
        <v>114</v>
      </c>
      <c r="C98" s="94"/>
      <c r="D98" s="95"/>
      <c r="E98" s="35">
        <f>('App9. Data for tables'!$G$33*'App9. Data for tables'!$G$34)+('App9. Data for tables'!$G$35*'App9. Data for tables'!$G$36)+('App9. Data for tables'!$G$37*'App9. Data for tables'!$G$38)</f>
        <v>1254.54</v>
      </c>
      <c r="F98" s="95">
        <f>'App9. Data for tables'!$G$78</f>
        <v>11</v>
      </c>
      <c r="G98" s="35">
        <f t="shared" ref="G98:G118" si="6">E98*F98</f>
        <v>13799.939999999999</v>
      </c>
      <c r="I98" s="10"/>
      <c r="J98" s="10"/>
      <c r="K98" s="10"/>
      <c r="L98" s="10"/>
      <c r="M98" s="10"/>
      <c r="N98" s="10"/>
      <c r="O98" s="10"/>
      <c r="P98" s="10"/>
    </row>
    <row r="99" spans="1:16" ht="18" customHeight="1" x14ac:dyDescent="0.25">
      <c r="A99" s="10" t="s">
        <v>19</v>
      </c>
      <c r="B99" s="11" t="s">
        <v>346</v>
      </c>
      <c r="C99" s="94"/>
      <c r="D99" s="95"/>
      <c r="E99" s="35">
        <f>('App9. Data for tables'!$G$39*'App9. Data for tables'!$G$40)+('App9. Data for tables'!$G$41*'App9. Data for tables'!$G$42)</f>
        <v>0</v>
      </c>
      <c r="F99" s="95">
        <f>'App9. Data for tables'!$G$78</f>
        <v>11</v>
      </c>
      <c r="G99" s="35">
        <f t="shared" si="6"/>
        <v>0</v>
      </c>
      <c r="I99" s="10"/>
      <c r="J99" s="10"/>
      <c r="K99" s="10"/>
      <c r="L99" s="10"/>
      <c r="M99" s="10"/>
      <c r="N99" s="10"/>
      <c r="O99" s="10"/>
      <c r="P99" s="10"/>
    </row>
    <row r="100" spans="1:16" ht="18" customHeight="1" x14ac:dyDescent="0.25">
      <c r="A100" s="10" t="s">
        <v>19</v>
      </c>
      <c r="B100" s="11" t="s">
        <v>347</v>
      </c>
      <c r="C100" s="35"/>
      <c r="D100" s="35"/>
      <c r="E100" s="94">
        <f>'App9. Data for tables'!$G$43</f>
        <v>1740</v>
      </c>
      <c r="F100" s="95">
        <f>'App9. Data for tables'!$G$78</f>
        <v>11</v>
      </c>
      <c r="G100" s="35">
        <f t="shared" si="6"/>
        <v>19140</v>
      </c>
      <c r="I100" s="10"/>
      <c r="J100" s="10"/>
      <c r="K100" s="10"/>
      <c r="L100" s="10"/>
      <c r="M100" s="10"/>
      <c r="N100" s="10"/>
      <c r="O100" s="10"/>
      <c r="P100" s="10"/>
    </row>
    <row r="101" spans="1:16" ht="18" customHeight="1" x14ac:dyDescent="0.25">
      <c r="A101" s="10" t="s">
        <v>19</v>
      </c>
      <c r="B101" s="11" t="s">
        <v>349</v>
      </c>
      <c r="C101" s="35"/>
      <c r="D101" s="35"/>
      <c r="E101" s="94">
        <f>('App9. Data for tables'!$G$44*'App9. Data for tables'!$G$45)</f>
        <v>407.34</v>
      </c>
      <c r="F101" s="95">
        <f>'App9. Data for tables'!$G$78</f>
        <v>11</v>
      </c>
      <c r="G101" s="35">
        <f t="shared" ref="G101" si="7">E101*F101</f>
        <v>4480.74</v>
      </c>
      <c r="I101" s="10"/>
      <c r="J101" s="10"/>
      <c r="K101" s="10"/>
      <c r="L101" s="10"/>
      <c r="M101" s="10"/>
      <c r="N101" s="10"/>
      <c r="O101" s="10"/>
      <c r="P101" s="10"/>
    </row>
    <row r="102" spans="1:16" ht="18" customHeight="1" x14ac:dyDescent="0.25">
      <c r="A102" s="10" t="s">
        <v>19</v>
      </c>
      <c r="B102" s="11" t="s">
        <v>351</v>
      </c>
      <c r="C102" s="35"/>
      <c r="D102" s="35"/>
      <c r="E102" s="94">
        <f>'App9. Data for tables'!$G$46</f>
        <v>230</v>
      </c>
      <c r="F102" s="95">
        <f>'App9. Data for tables'!$G$78</f>
        <v>11</v>
      </c>
      <c r="G102" s="35">
        <f t="shared" si="6"/>
        <v>2530</v>
      </c>
      <c r="H102" s="170"/>
      <c r="I102" s="10"/>
      <c r="J102" s="97"/>
      <c r="K102" s="10"/>
      <c r="L102" s="10"/>
      <c r="M102" s="97"/>
      <c r="N102" s="10"/>
      <c r="O102" s="10"/>
      <c r="P102" s="97"/>
    </row>
    <row r="103" spans="1:16" ht="18" customHeight="1" x14ac:dyDescent="0.25">
      <c r="A103" s="10" t="s">
        <v>19</v>
      </c>
      <c r="B103" s="11" t="s">
        <v>352</v>
      </c>
      <c r="C103" s="35"/>
      <c r="D103" s="35"/>
      <c r="E103" s="94">
        <f>('App9. Data for tables'!$G$47*'App9. Data for tables'!$G$48)</f>
        <v>181.04</v>
      </c>
      <c r="F103" s="95">
        <f>'App9. Data for tables'!$G$78</f>
        <v>11</v>
      </c>
      <c r="G103" s="35">
        <f t="shared" si="6"/>
        <v>1991.4399999999998</v>
      </c>
      <c r="H103" s="170"/>
      <c r="I103" s="10"/>
      <c r="J103" s="97"/>
      <c r="K103" s="10"/>
      <c r="L103" s="10"/>
      <c r="M103" s="97"/>
      <c r="N103" s="10"/>
      <c r="O103" s="10"/>
      <c r="P103" s="97"/>
    </row>
    <row r="104" spans="1:16" ht="18" customHeight="1" x14ac:dyDescent="0.25">
      <c r="A104" s="10" t="s">
        <v>19</v>
      </c>
      <c r="B104" s="11" t="s">
        <v>115</v>
      </c>
      <c r="C104" s="94"/>
      <c r="D104" s="111"/>
      <c r="E104" s="35">
        <f>'App9. Data for tables'!$G$49</f>
        <v>155</v>
      </c>
      <c r="F104" s="95">
        <f>'App9. Data for tables'!$G$78</f>
        <v>11</v>
      </c>
      <c r="G104" s="35">
        <f t="shared" si="6"/>
        <v>1705</v>
      </c>
      <c r="I104" s="10"/>
      <c r="J104" s="10"/>
      <c r="K104" s="10"/>
      <c r="L104" s="10"/>
      <c r="M104" s="10"/>
      <c r="N104" s="10"/>
      <c r="O104" s="10"/>
      <c r="P104" s="10"/>
    </row>
    <row r="105" spans="1:16" ht="18" customHeight="1" x14ac:dyDescent="0.25">
      <c r="A105" s="10" t="s">
        <v>19</v>
      </c>
      <c r="B105" s="11" t="s">
        <v>116</v>
      </c>
      <c r="C105" s="35"/>
      <c r="D105" s="35"/>
      <c r="E105" s="94">
        <f>'App9. Data for tables'!$G$50</f>
        <v>120</v>
      </c>
      <c r="F105" s="95">
        <f>'App9. Data for tables'!$G$78</f>
        <v>11</v>
      </c>
      <c r="G105" s="35">
        <f t="shared" si="6"/>
        <v>1320</v>
      </c>
      <c r="I105" s="10"/>
      <c r="J105" s="10"/>
      <c r="K105" s="10"/>
      <c r="L105" s="10"/>
      <c r="M105" s="10"/>
      <c r="N105" s="10"/>
      <c r="O105" s="10"/>
      <c r="P105" s="10"/>
    </row>
    <row r="106" spans="1:16" ht="18" customHeight="1" x14ac:dyDescent="0.25">
      <c r="A106" s="10" t="s">
        <v>19</v>
      </c>
      <c r="B106" s="11" t="s">
        <v>353</v>
      </c>
      <c r="C106" s="35"/>
      <c r="D106" s="35"/>
      <c r="E106" s="94">
        <f>('App9. Data for tables'!$G$51*'App9. Data for tables'!$G$52)</f>
        <v>226.29999999999998</v>
      </c>
      <c r="F106" s="95">
        <f>'App9. Data for tables'!$G$78</f>
        <v>11</v>
      </c>
      <c r="G106" s="35">
        <f t="shared" si="6"/>
        <v>2489.2999999999997</v>
      </c>
      <c r="I106" s="10"/>
      <c r="J106" s="10"/>
      <c r="K106" s="10"/>
      <c r="L106" s="10"/>
      <c r="M106" s="10"/>
      <c r="N106" s="10"/>
      <c r="O106" s="10"/>
      <c r="P106" s="10"/>
    </row>
    <row r="107" spans="1:16" ht="18" customHeight="1" x14ac:dyDescent="0.25">
      <c r="A107" s="10" t="s">
        <v>19</v>
      </c>
      <c r="B107" s="11" t="s">
        <v>24</v>
      </c>
      <c r="C107" s="94"/>
      <c r="D107" s="111"/>
      <c r="E107" s="35">
        <f>'App9. Data for tables'!$G$53*'App9. Data for tables'!$G$54</f>
        <v>195</v>
      </c>
      <c r="F107" s="95">
        <f>'App9. Data for tables'!$G$78</f>
        <v>11</v>
      </c>
      <c r="G107" s="35">
        <f t="shared" si="6"/>
        <v>2145</v>
      </c>
      <c r="I107" s="10"/>
      <c r="J107" s="10"/>
      <c r="K107" s="10"/>
      <c r="L107" s="10"/>
      <c r="M107" s="10"/>
      <c r="N107" s="10"/>
      <c r="O107" s="10"/>
      <c r="P107" s="10"/>
    </row>
    <row r="108" spans="1:16" ht="18" customHeight="1" x14ac:dyDescent="0.25">
      <c r="A108" s="10" t="s">
        <v>19</v>
      </c>
      <c r="B108" s="11" t="s">
        <v>355</v>
      </c>
      <c r="C108" s="35"/>
      <c r="D108" s="35"/>
      <c r="E108" s="94">
        <f>SUM('App9. Data for tables'!$G$56:$G$60)</f>
        <v>285</v>
      </c>
      <c r="F108" s="95">
        <f>'App9. Data for tables'!$G$78</f>
        <v>11</v>
      </c>
      <c r="G108" s="35">
        <f t="shared" si="6"/>
        <v>3135</v>
      </c>
      <c r="I108" s="10"/>
      <c r="J108" s="10"/>
      <c r="K108" s="10"/>
      <c r="L108" s="10"/>
      <c r="M108" s="10"/>
      <c r="N108" s="10"/>
      <c r="O108" s="10"/>
      <c r="P108" s="10"/>
    </row>
    <row r="109" spans="1:16" ht="18" customHeight="1" x14ac:dyDescent="0.25">
      <c r="A109" s="10" t="s">
        <v>19</v>
      </c>
      <c r="B109" s="11" t="s">
        <v>357</v>
      </c>
      <c r="C109" s="35"/>
      <c r="D109" s="35"/>
      <c r="E109" s="94">
        <f>'App9. Data for tables'!$G$61</f>
        <v>180</v>
      </c>
      <c r="F109" s="95">
        <f>'App9. Data for tables'!$G$78</f>
        <v>11</v>
      </c>
      <c r="G109" s="35">
        <f t="shared" si="6"/>
        <v>1980</v>
      </c>
      <c r="I109" s="10"/>
      <c r="J109" s="10"/>
      <c r="K109" s="10"/>
      <c r="L109" s="10"/>
      <c r="M109" s="10"/>
      <c r="N109" s="10"/>
      <c r="O109" s="10"/>
      <c r="P109" s="10"/>
    </row>
    <row r="110" spans="1:16" ht="18" customHeight="1" x14ac:dyDescent="0.25">
      <c r="A110" s="10" t="s">
        <v>19</v>
      </c>
      <c r="B110" s="11" t="s">
        <v>218</v>
      </c>
      <c r="C110" s="94"/>
      <c r="D110" s="111"/>
      <c r="E110" s="35">
        <f>'App9. Data for tables'!$G$66</f>
        <v>100</v>
      </c>
      <c r="F110" s="95">
        <f>'App9. Data for tables'!$G$78</f>
        <v>11</v>
      </c>
      <c r="G110" s="35">
        <f t="shared" si="6"/>
        <v>1100</v>
      </c>
      <c r="I110" s="10"/>
      <c r="J110" s="10"/>
      <c r="K110" s="10"/>
      <c r="L110" s="10"/>
      <c r="M110" s="10"/>
      <c r="N110" s="10"/>
      <c r="O110" s="10"/>
      <c r="P110" s="10"/>
    </row>
    <row r="111" spans="1:16" ht="18" customHeight="1" x14ac:dyDescent="0.25">
      <c r="A111" s="10" t="s">
        <v>19</v>
      </c>
      <c r="B111" s="11" t="s">
        <v>28</v>
      </c>
      <c r="C111" s="35"/>
      <c r="D111" s="95"/>
      <c r="E111" s="94">
        <f>'App9. Data for tables'!$G$67</f>
        <v>190</v>
      </c>
      <c r="F111" s="95">
        <f>'App9. Data for tables'!$G$78</f>
        <v>11</v>
      </c>
      <c r="G111" s="35">
        <f t="shared" si="6"/>
        <v>2090</v>
      </c>
      <c r="I111" s="10"/>
      <c r="J111" s="10"/>
      <c r="K111" s="10"/>
      <c r="L111" s="10"/>
      <c r="M111" s="10"/>
      <c r="N111" s="10"/>
      <c r="O111" s="10"/>
      <c r="P111" s="10"/>
    </row>
    <row r="112" spans="1:16" ht="18" customHeight="1" x14ac:dyDescent="0.25">
      <c r="A112" s="10" t="s">
        <v>19</v>
      </c>
      <c r="B112" s="11" t="s">
        <v>29</v>
      </c>
      <c r="C112" s="35"/>
      <c r="D112" s="35"/>
      <c r="E112" s="94">
        <f>'App9. Data for tables'!$G$69</f>
        <v>120</v>
      </c>
      <c r="F112" s="95">
        <f>'App9. Data for tables'!$G$78</f>
        <v>11</v>
      </c>
      <c r="G112" s="35">
        <f t="shared" si="6"/>
        <v>1320</v>
      </c>
    </row>
    <row r="113" spans="1:7" ht="18" customHeight="1" x14ac:dyDescent="0.25">
      <c r="A113" s="10" t="s">
        <v>19</v>
      </c>
      <c r="B113" s="11" t="s">
        <v>361</v>
      </c>
      <c r="C113" s="35"/>
      <c r="D113" s="35"/>
      <c r="E113" s="94">
        <f>'App9. Data for tables'!$G$70+'App9. Data for tables'!$G$71</f>
        <v>425</v>
      </c>
      <c r="F113" s="95">
        <f>'App9. Data for tables'!$G$78</f>
        <v>11</v>
      </c>
      <c r="G113" s="35">
        <f t="shared" si="6"/>
        <v>4675</v>
      </c>
    </row>
    <row r="114" spans="1:7" ht="18" customHeight="1" x14ac:dyDescent="0.25">
      <c r="A114" s="10" t="s">
        <v>19</v>
      </c>
      <c r="B114" s="11" t="s">
        <v>120</v>
      </c>
      <c r="C114" s="35"/>
      <c r="D114" s="35"/>
      <c r="E114" s="94">
        <f>'App9. Data for tables'!$G$72</f>
        <v>700</v>
      </c>
      <c r="F114" s="95">
        <f>'App9. Data for tables'!$G$78</f>
        <v>11</v>
      </c>
      <c r="G114" s="35">
        <f t="shared" si="6"/>
        <v>7700</v>
      </c>
    </row>
    <row r="115" spans="1:7" ht="18" customHeight="1" x14ac:dyDescent="0.25">
      <c r="A115" s="10" t="s">
        <v>19</v>
      </c>
      <c r="B115" s="11" t="s">
        <v>465</v>
      </c>
      <c r="C115" s="94">
        <f>'App9. Data for tables'!$G$62</f>
        <v>0.33</v>
      </c>
      <c r="D115" s="95">
        <f>'App9. Data for tables'!$G$7</f>
        <v>16000</v>
      </c>
      <c r="E115" s="35">
        <f>C115*D115</f>
        <v>5280</v>
      </c>
      <c r="F115" s="95">
        <f>'App9. Data for tables'!$G$78</f>
        <v>11</v>
      </c>
      <c r="G115" s="35">
        <f t="shared" si="6"/>
        <v>58080</v>
      </c>
    </row>
    <row r="116" spans="1:7" ht="18" customHeight="1" x14ac:dyDescent="0.25">
      <c r="A116" s="10" t="s">
        <v>19</v>
      </c>
      <c r="B116" s="11" t="s">
        <v>466</v>
      </c>
      <c r="C116" s="94">
        <f>'App9. Data for tables'!$G$63</f>
        <v>0.15</v>
      </c>
      <c r="D116" s="95">
        <f>'App9. Data for tables'!$G$7</f>
        <v>16000</v>
      </c>
      <c r="E116" s="35">
        <f>C116*D116</f>
        <v>2400</v>
      </c>
      <c r="F116" s="95">
        <f>'App9. Data for tables'!$G$78</f>
        <v>11</v>
      </c>
      <c r="G116" s="35">
        <f t="shared" si="6"/>
        <v>26400</v>
      </c>
    </row>
    <row r="117" spans="1:7" ht="18" customHeight="1" x14ac:dyDescent="0.25">
      <c r="A117" s="10" t="s">
        <v>19</v>
      </c>
      <c r="B117" s="11" t="s">
        <v>467</v>
      </c>
      <c r="C117" s="94">
        <f>'App9. Data for tables'!$G$64</f>
        <v>0.05</v>
      </c>
      <c r="D117" s="95">
        <f>'App9. Data for tables'!$G$7</f>
        <v>16000</v>
      </c>
      <c r="E117" s="35">
        <f>C117*D117</f>
        <v>800</v>
      </c>
      <c r="F117" s="95">
        <f>'App9. Data for tables'!$G$78</f>
        <v>11</v>
      </c>
      <c r="G117" s="35">
        <f t="shared" si="6"/>
        <v>8800</v>
      </c>
    </row>
    <row r="118" spans="1:7" ht="18" customHeight="1" x14ac:dyDescent="0.25">
      <c r="A118" s="10" t="s">
        <v>19</v>
      </c>
      <c r="B118" s="11" t="s">
        <v>468</v>
      </c>
      <c r="C118" s="94">
        <f>'App9. Data for tables'!$G$65</f>
        <v>0.9</v>
      </c>
      <c r="D118" s="95">
        <f>'App9. Data for tables'!$G$7</f>
        <v>16000</v>
      </c>
      <c r="E118" s="35">
        <f>C118*D118</f>
        <v>14400</v>
      </c>
      <c r="F118" s="95">
        <f>'App9. Data for tables'!$G$78</f>
        <v>11</v>
      </c>
      <c r="G118" s="35">
        <f t="shared" si="6"/>
        <v>158400</v>
      </c>
    </row>
    <row r="119" spans="1:7" ht="18" customHeight="1" x14ac:dyDescent="0.25">
      <c r="A119" s="11" t="s">
        <v>49</v>
      </c>
      <c r="B119" s="8"/>
      <c r="C119" s="94"/>
      <c r="D119" s="95"/>
      <c r="E119" s="35"/>
      <c r="F119" s="95"/>
      <c r="G119" s="35"/>
    </row>
    <row r="120" spans="1:7" ht="18" customHeight="1" x14ac:dyDescent="0.25">
      <c r="A120" s="101" t="s">
        <v>117</v>
      </c>
      <c r="B120" s="8"/>
      <c r="C120" s="199"/>
    </row>
    <row r="121" spans="1:7" ht="18" customHeight="1" x14ac:dyDescent="0.25">
      <c r="A121" s="101" t="s">
        <v>118</v>
      </c>
      <c r="B121" s="8"/>
      <c r="C121" s="199"/>
    </row>
    <row r="122" spans="1:7" ht="18" customHeight="1" x14ac:dyDescent="0.25">
      <c r="A122" s="101" t="s">
        <v>345</v>
      </c>
      <c r="B122" s="8"/>
      <c r="C122" s="199"/>
    </row>
    <row r="123" spans="1:7" ht="18" customHeight="1" x14ac:dyDescent="0.25">
      <c r="A123" s="9" t="s">
        <v>348</v>
      </c>
      <c r="B123" s="9"/>
      <c r="C123" s="9"/>
      <c r="D123" s="9"/>
      <c r="E123" s="9"/>
      <c r="F123" s="9"/>
      <c r="G123" s="9"/>
    </row>
    <row r="124" spans="1:7" ht="18" customHeight="1" x14ac:dyDescent="0.25">
      <c r="A124" s="101" t="s">
        <v>350</v>
      </c>
      <c r="B124" s="8"/>
    </row>
    <row r="125" spans="1:7" ht="18" customHeight="1" x14ac:dyDescent="0.25">
      <c r="A125" s="101" t="s">
        <v>354</v>
      </c>
      <c r="B125" s="101"/>
      <c r="C125" s="200"/>
      <c r="D125" s="200"/>
      <c r="E125" s="200"/>
      <c r="F125" s="200"/>
      <c r="G125" s="200"/>
    </row>
    <row r="126" spans="1:7" ht="18" customHeight="1" x14ac:dyDescent="0.25">
      <c r="A126" s="9" t="s">
        <v>356</v>
      </c>
      <c r="B126" s="9"/>
      <c r="C126" s="9"/>
      <c r="D126" s="9"/>
      <c r="E126" s="9"/>
      <c r="F126" s="9"/>
      <c r="G126" s="9"/>
    </row>
    <row r="127" spans="1:7" ht="18" customHeight="1" x14ac:dyDescent="0.25">
      <c r="A127" s="101" t="s">
        <v>358</v>
      </c>
      <c r="B127" s="200"/>
      <c r="C127" s="200"/>
      <c r="D127" s="200"/>
      <c r="E127" s="200"/>
      <c r="F127" s="200"/>
      <c r="G127" s="200"/>
    </row>
    <row r="128" spans="1:7" ht="18" customHeight="1" x14ac:dyDescent="0.25">
      <c r="A128" s="101" t="s">
        <v>360</v>
      </c>
      <c r="B128" s="200"/>
      <c r="C128" s="200"/>
      <c r="D128" s="200"/>
      <c r="E128" s="200"/>
      <c r="F128" s="200"/>
      <c r="G128" s="200"/>
    </row>
    <row r="129" spans="1:7" ht="18" customHeight="1" x14ac:dyDescent="0.25">
      <c r="A129" s="101" t="s">
        <v>121</v>
      </c>
      <c r="B129" s="200"/>
      <c r="C129" s="200"/>
      <c r="D129" s="200"/>
      <c r="E129" s="200"/>
      <c r="F129" s="200"/>
      <c r="G129" s="200"/>
    </row>
    <row r="130" spans="1:7" ht="18" customHeight="1" x14ac:dyDescent="0.25">
      <c r="A130" s="101" t="s">
        <v>462</v>
      </c>
      <c r="B130" s="8"/>
    </row>
    <row r="131" spans="1:7" ht="18" customHeight="1" x14ac:dyDescent="0.25">
      <c r="A131" s="101"/>
      <c r="B131" s="8"/>
    </row>
    <row r="132" spans="1:7" x14ac:dyDescent="0.25">
      <c r="A132" s="101"/>
      <c r="B132" s="8"/>
    </row>
  </sheetData>
  <protectedRanges>
    <protectedRange sqref="C3:E118" name="Range2"/>
    <protectedRange sqref="C119:E119" name="Range2_1"/>
  </protectedRanges>
  <phoneticPr fontId="17" type="noConversion"/>
  <pageMargins left="0.7" right="0.7" top="0.75" bottom="0.75" header="0.3" footer="0.3"/>
  <pageSetup orientation="portrait" r:id="rId1"/>
  <ignoredErrors>
    <ignoredError sqref="C8 C69:C72 C92:C95 C115:C118" unlockedFormula="1"/>
    <ignoredError sqref="D8 E3:F31 E33:E47 E48:F67 D69:D72 E68:F73 E74:F118 D92:D95" unlockedFormula="1" calculatedColumn="1"/>
    <ignoredError sqref="E32:F32 F33:F47" calculatedColumn="1"/>
  </ignoredErrors>
  <tableParts count="1">
    <tablePart r:id="rId2"/>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7D58288229BC4088569E048B6F0070" ma:contentTypeVersion="18" ma:contentTypeDescription="Create a new document." ma:contentTypeScope="" ma:versionID="ee464c4f146fddf4228e353f13f96465">
  <xsd:schema xmlns:xsd="http://www.w3.org/2001/XMLSchema" xmlns:xs="http://www.w3.org/2001/XMLSchema" xmlns:p="http://schemas.microsoft.com/office/2006/metadata/properties" xmlns:ns3="9ddc9d20-b71f-4856-9479-006414ff5e84" xmlns:ns4="2b322f46-9662-42fc-bc17-091c716e99e0" targetNamespace="http://schemas.microsoft.com/office/2006/metadata/properties" ma:root="true" ma:fieldsID="e3af4ef9d2f9f4bcb7d6d07f95377f75" ns3:_="" ns4:_="">
    <xsd:import namespace="9ddc9d20-b71f-4856-9479-006414ff5e84"/>
    <xsd:import namespace="2b322f46-9662-42fc-bc17-091c716e99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c9d20-b71f-4856-9479-006414ff5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22f46-9662-42fc-bc17-091c716e99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ddc9d20-b71f-4856-9479-006414ff5e84" xsi:nil="true"/>
  </documentManagement>
</p:properties>
</file>

<file path=customXml/itemProps1.xml><?xml version="1.0" encoding="utf-8"?>
<ds:datastoreItem xmlns:ds="http://schemas.openxmlformats.org/officeDocument/2006/customXml" ds:itemID="{0F3CEFBB-BB9F-4819-BC2E-074C2D3F7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c9d20-b71f-4856-9479-006414ff5e84"/>
    <ds:schemaRef ds:uri="2b322f46-9662-42fc-bc17-091c716e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42103D-F8A2-4768-8CB9-E75E029DB774}">
  <ds:schemaRefs>
    <ds:schemaRef ds:uri="http://schemas.microsoft.com/sharepoint/v3/contenttype/forms"/>
  </ds:schemaRefs>
</ds:datastoreItem>
</file>

<file path=customXml/itemProps3.xml><?xml version="1.0" encoding="utf-8"?>
<ds:datastoreItem xmlns:ds="http://schemas.openxmlformats.org/officeDocument/2006/customXml" ds:itemID="{332AF511-652F-4A3E-A434-A866251EBA89}">
  <ds:schemaRefs>
    <ds:schemaRef ds:uri="http://schemas.microsoft.com/office/2006/metadata/properties"/>
    <ds:schemaRef ds:uri="http://schemas.microsoft.com/office/infopath/2007/PartnerControls"/>
    <ds:schemaRef ds:uri="9ddc9d20-b71f-4856-9479-006414ff5e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Block Specification</vt:lpstr>
      <vt:lpstr>Yellow Cherry Budget</vt:lpstr>
      <vt:lpstr>Breakeven Return</vt:lpstr>
      <vt:lpstr>App1. Capital Req</vt:lpstr>
      <vt:lpstr>App2. Mach Etc Req</vt:lpstr>
      <vt:lpstr>App3. Interest</vt:lpstr>
      <vt:lpstr>App4. Depreciation</vt:lpstr>
      <vt:lpstr>App5. Estab Costs</vt:lpstr>
      <vt:lpstr>App6. Full Prod Costs</vt:lpstr>
      <vt:lpstr>App7. Salv Value &amp; Dep Calc</vt:lpstr>
      <vt:lpstr>App8. Amort Calc</vt:lpstr>
      <vt:lpstr>App9. Data for tables</vt:lpstr>
      <vt:lpstr>'App2. Mach Etc Req'!Print_Area</vt:lpstr>
      <vt:lpstr>'App9. Data for tables'!Print_Area</vt:lpstr>
      <vt:lpstr>Intro!Print_Area</vt:lpstr>
      <vt:lpstr>'Yellow Cherry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m_taylor</dc:creator>
  <cp:keywords/>
  <dc:description/>
  <cp:lastModifiedBy>Suzette P Galinato</cp:lastModifiedBy>
  <cp:revision/>
  <dcterms:created xsi:type="dcterms:W3CDTF">2009-07-08T23:24:01Z</dcterms:created>
  <dcterms:modified xsi:type="dcterms:W3CDTF">2026-07-01T17:56:51Z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0x010100217D58288229BC4088569E048B6F0070</vt:lpwstr>
  </property>
</Properties>
</file>