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5"/>
  <workbookPr autoCompressPictures="0" defaultThemeVersion="124226"/>
  <mc:AlternateContent xmlns:mc="http://schemas.openxmlformats.org/markup-compatibility/2006">
    <mc:Choice Requires="x15">
      <x15ac:absPath xmlns:x15ac="http://schemas.microsoft.com/office/spreadsheetml/2010/11/ac" url="/Users/rosakgallardo/Desktop/Cherry-2026/"/>
    </mc:Choice>
  </mc:AlternateContent>
  <xr:revisionPtr revIDLastSave="0" documentId="13_ncr:1_{97AFC729-51B2-1748-B13B-5385642942A2}" xr6:coauthVersionLast="47" xr6:coauthVersionMax="47" xr10:uidLastSave="{00000000-0000-0000-0000-000000000000}"/>
  <bookViews>
    <workbookView xWindow="540" yWindow="600" windowWidth="37900" windowHeight="21000" tabRatio="872" activeTab="4" xr2:uid="{3CBB7392-5D5D-4CBF-BF03-2B59C8A1E797}"/>
  </bookViews>
  <sheets>
    <sheet name="Intro" sheetId="18" r:id="rId1"/>
    <sheet name="Block Specification" sheetId="17" r:id="rId2"/>
    <sheet name="Early-Season Mahogany Budget" sheetId="1" r:id="rId3"/>
    <sheet name="Breakeven Return" sheetId="16" r:id="rId4"/>
    <sheet name="App A1. Capital Req" sheetId="2" r:id="rId5"/>
    <sheet name="App A2. Mach Etc Req" sheetId="11" r:id="rId6"/>
    <sheet name="App A3. Interest" sheetId="7" r:id="rId7"/>
    <sheet name="App A4. Depreciation" sheetId="19" r:id="rId8"/>
    <sheet name="App A5. Estab Costs" sheetId="3" r:id="rId9"/>
    <sheet name="App A6. Full Prod Costs" sheetId="6" r:id="rId10"/>
    <sheet name="App A7. Salv Value &amp; Dep Calc" sheetId="14" r:id="rId11"/>
    <sheet name="App A8. Amort Calc" sheetId="8" r:id="rId12"/>
    <sheet name="App A9. Data for tables" sheetId="13" r:id="rId13"/>
  </sheets>
  <definedNames>
    <definedName name="_xlnm.Print_Area" localSheetId="5">'App A2. Mach Etc Req'!$A$1:$G$22</definedName>
    <definedName name="_xlnm.Print_Area" localSheetId="12">'App A9. Data for tables'!$A$1:$J$79</definedName>
    <definedName name="_xlnm.Print_Area" localSheetId="2">'Early-Season Mahogany Budget'!$B$1:$I$65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 i="13" l="1"/>
  <c r="H4" i="13"/>
  <c r="H5" i="13"/>
  <c r="H6" i="13"/>
  <c r="D5" i="6"/>
  <c r="E91" i="3"/>
  <c r="E67" i="3"/>
  <c r="E47" i="3"/>
  <c r="E31" i="3"/>
  <c r="E15" i="3"/>
  <c r="H38" i="13"/>
  <c r="G38" i="13"/>
  <c r="F38" i="13"/>
  <c r="E38" i="13"/>
  <c r="D82" i="13" l="1"/>
  <c r="D52" i="13" s="1"/>
  <c r="D81" i="13"/>
  <c r="D40" i="13" s="1"/>
  <c r="D79" i="13"/>
  <c r="E79" i="13" s="1"/>
  <c r="F79" i="13" s="1"/>
  <c r="G79" i="13" s="1"/>
  <c r="H79" i="13" s="1"/>
  <c r="C78" i="13"/>
  <c r="D78" i="13" s="1"/>
  <c r="E78" i="13" s="1"/>
  <c r="F78" i="13" s="1"/>
  <c r="G78" i="13" s="1"/>
  <c r="H78" i="13" s="1"/>
  <c r="D77" i="13"/>
  <c r="E77" i="13" s="1"/>
  <c r="F77" i="13" s="1"/>
  <c r="G77" i="13" s="1"/>
  <c r="H77" i="13" s="1"/>
  <c r="D72" i="13"/>
  <c r="E72" i="13" s="1"/>
  <c r="F72" i="13" s="1"/>
  <c r="G72" i="13" s="1"/>
  <c r="H72" i="13" s="1"/>
  <c r="D71" i="13"/>
  <c r="E71" i="13" s="1"/>
  <c r="F71" i="13" s="1"/>
  <c r="G71" i="13" s="1"/>
  <c r="H71" i="13" s="1"/>
  <c r="D70" i="13"/>
  <c r="E70" i="13" s="1"/>
  <c r="F70" i="13" s="1"/>
  <c r="G70" i="13" s="1"/>
  <c r="H70" i="13" s="1"/>
  <c r="D69" i="13"/>
  <c r="E69" i="13" s="1"/>
  <c r="F69" i="13" s="1"/>
  <c r="G69" i="13" s="1"/>
  <c r="H69" i="13" s="1"/>
  <c r="G68" i="13"/>
  <c r="H68" i="13" s="1"/>
  <c r="D67" i="13"/>
  <c r="E67" i="13" s="1"/>
  <c r="F67" i="13" s="1"/>
  <c r="G67" i="13" s="1"/>
  <c r="H67" i="13" s="1"/>
  <c r="D66" i="13"/>
  <c r="E66" i="13" s="1"/>
  <c r="F66" i="13" s="1"/>
  <c r="G66" i="13" s="1"/>
  <c r="H66" i="13" s="1"/>
  <c r="G65" i="13"/>
  <c r="H65" i="13" s="1"/>
  <c r="G64" i="13"/>
  <c r="H64" i="13" s="1"/>
  <c r="G63" i="13"/>
  <c r="H63" i="13" s="1"/>
  <c r="D60" i="13"/>
  <c r="E60" i="13" s="1"/>
  <c r="F60" i="13" s="1"/>
  <c r="G60" i="13" s="1"/>
  <c r="H60" i="13" s="1"/>
  <c r="G59" i="13"/>
  <c r="H59" i="13" s="1"/>
  <c r="D57" i="13"/>
  <c r="E57" i="13" s="1"/>
  <c r="F57" i="13" s="1"/>
  <c r="G57" i="13" s="1"/>
  <c r="H57" i="13" s="1"/>
  <c r="G56" i="13"/>
  <c r="H56" i="13" s="1"/>
  <c r="C52" i="13"/>
  <c r="C48" i="13"/>
  <c r="H45" i="13"/>
  <c r="G45" i="13"/>
  <c r="F45" i="13"/>
  <c r="E45" i="13"/>
  <c r="D45" i="13"/>
  <c r="C45" i="13"/>
  <c r="C42" i="13"/>
  <c r="C40" i="13"/>
  <c r="C36" i="13"/>
  <c r="C34" i="13"/>
  <c r="C29" i="13"/>
  <c r="C19" i="13"/>
  <c r="C18" i="13"/>
  <c r="H11" i="13"/>
  <c r="G11" i="13"/>
  <c r="H10" i="13"/>
  <c r="G10" i="13"/>
  <c r="H9" i="13"/>
  <c r="G9" i="13"/>
  <c r="H8" i="13"/>
  <c r="G8" i="13"/>
  <c r="G6" i="13"/>
  <c r="G5" i="13"/>
  <c r="G4" i="13"/>
  <c r="G3" i="13"/>
  <c r="E81" i="13" l="1"/>
  <c r="D36" i="13"/>
  <c r="D42" i="13"/>
  <c r="D48" i="13"/>
  <c r="E82" i="13"/>
  <c r="D34" i="13"/>
  <c r="F82" i="13" l="1"/>
  <c r="E52" i="13"/>
  <c r="E48" i="13"/>
  <c r="E40" i="13"/>
  <c r="E42" i="13"/>
  <c r="E36" i="13"/>
  <c r="E34" i="13"/>
  <c r="F81" i="13"/>
  <c r="F42" i="13" l="1"/>
  <c r="F36" i="13"/>
  <c r="F34" i="13"/>
  <c r="F40" i="13"/>
  <c r="G81" i="13"/>
  <c r="G82" i="13"/>
  <c r="F48" i="13"/>
  <c r="F52" i="13"/>
  <c r="H82" i="13" l="1"/>
  <c r="G48" i="13"/>
  <c r="G52" i="13"/>
  <c r="G42" i="13"/>
  <c r="G36" i="13"/>
  <c r="G40" i="13"/>
  <c r="H81" i="13"/>
  <c r="G34" i="13"/>
  <c r="H42" i="13" l="1"/>
  <c r="H36" i="13"/>
  <c r="H34" i="13"/>
  <c r="H40" i="13"/>
  <c r="H48" i="13"/>
  <c r="H52" i="13"/>
  <c r="C9" i="19" l="1"/>
  <c r="C8" i="19"/>
  <c r="C7" i="19"/>
  <c r="C6" i="19"/>
  <c r="C5" i="19"/>
  <c r="C4" i="19"/>
  <c r="C3" i="19"/>
  <c r="H10" i="1" l="1"/>
  <c r="H8" i="1"/>
  <c r="H9" i="1"/>
  <c r="E8" i="1"/>
  <c r="E9" i="1"/>
  <c r="E10" i="1"/>
  <c r="E7" i="1"/>
  <c r="D8" i="1"/>
  <c r="D9" i="1"/>
  <c r="D10" i="1"/>
  <c r="D7" i="1"/>
  <c r="C8" i="1"/>
  <c r="C9" i="1"/>
  <c r="C10" i="1"/>
  <c r="C7" i="1"/>
  <c r="H7" i="1"/>
  <c r="E76" i="3" l="1"/>
  <c r="D4" i="6"/>
  <c r="H21" i="1" s="1"/>
  <c r="E90" i="3"/>
  <c r="G21" i="1" s="1"/>
  <c r="E66" i="3"/>
  <c r="F21" i="1" s="1"/>
  <c r="E64" i="3"/>
  <c r="E65" i="3"/>
  <c r="F7" i="1" l="1"/>
  <c r="F8" i="1"/>
  <c r="F9" i="1"/>
  <c r="F10" i="1"/>
  <c r="F6" i="1"/>
  <c r="F5" i="1"/>
  <c r="F4" i="1"/>
  <c r="F3" i="1"/>
  <c r="C25" i="6"/>
  <c r="C24" i="6"/>
  <c r="C23" i="6"/>
  <c r="C22" i="6"/>
  <c r="D7" i="6"/>
  <c r="H16" i="1" s="1"/>
  <c r="D111" i="3"/>
  <c r="D110" i="3"/>
  <c r="D109" i="3"/>
  <c r="D108" i="3"/>
  <c r="E93" i="3"/>
  <c r="G16" i="1" s="1"/>
  <c r="D88" i="3"/>
  <c r="D87" i="3"/>
  <c r="D86" i="3"/>
  <c r="D85" i="3"/>
  <c r="E69" i="3"/>
  <c r="F16" i="1" s="1"/>
  <c r="E49" i="3"/>
  <c r="E16" i="1" s="1"/>
  <c r="E33" i="3"/>
  <c r="D16" i="1" s="1"/>
  <c r="E29" i="3"/>
  <c r="D11" i="1" l="1"/>
  <c r="E11" i="1"/>
  <c r="F11" i="1"/>
  <c r="C11" i="1"/>
  <c r="E17" i="3"/>
  <c r="C16" i="1" s="1"/>
  <c r="E9" i="3"/>
  <c r="B4" i="8"/>
  <c r="E34" i="3"/>
  <c r="E50" i="3"/>
  <c r="E70" i="3"/>
  <c r="E94" i="3"/>
  <c r="D8" i="6"/>
  <c r="E18" i="3"/>
  <c r="E12" i="3"/>
  <c r="F18" i="3"/>
  <c r="E4" i="3"/>
  <c r="G6" i="1"/>
  <c r="G5" i="1"/>
  <c r="G4" i="1"/>
  <c r="G3" i="1"/>
  <c r="G10" i="1"/>
  <c r="G9" i="1"/>
  <c r="G8" i="1"/>
  <c r="F12" i="3"/>
  <c r="H4" i="1" l="1"/>
  <c r="H6" i="1"/>
  <c r="H3" i="1"/>
  <c r="H5" i="1"/>
  <c r="F4" i="3"/>
  <c r="F34" i="3"/>
  <c r="G34" i="3" s="1"/>
  <c r="G18" i="3"/>
  <c r="F26" i="3"/>
  <c r="F25" i="3"/>
  <c r="F14" i="3"/>
  <c r="F24" i="3"/>
  <c r="F13" i="3"/>
  <c r="F15" i="3"/>
  <c r="F23" i="3"/>
  <c r="F21" i="3"/>
  <c r="F8" i="3"/>
  <c r="F22" i="3"/>
  <c r="F30" i="3"/>
  <c r="F29" i="3"/>
  <c r="F19" i="3"/>
  <c r="F6" i="3"/>
  <c r="F11" i="3"/>
  <c r="F20" i="3"/>
  <c r="F28" i="3"/>
  <c r="F17" i="3"/>
  <c r="F5" i="3"/>
  <c r="F10" i="3"/>
  <c r="F9" i="3"/>
  <c r="F7" i="3"/>
  <c r="F27" i="3"/>
  <c r="F16" i="3"/>
  <c r="H11" i="1" l="1"/>
  <c r="G7" i="1" l="1"/>
  <c r="G11" i="1" s="1"/>
  <c r="G76" i="3" l="1"/>
  <c r="E10" i="2" s="1"/>
  <c r="E45" i="3" l="1"/>
  <c r="E46" i="3"/>
  <c r="E61" i="3" l="1"/>
  <c r="F33" i="3"/>
  <c r="F45" i="3"/>
  <c r="F35" i="3"/>
  <c r="F37" i="3"/>
  <c r="F38" i="3"/>
  <c r="F32" i="3"/>
  <c r="F39" i="3"/>
  <c r="F40" i="3"/>
  <c r="F44" i="3"/>
  <c r="F46" i="3"/>
  <c r="F41" i="3"/>
  <c r="F42" i="3"/>
  <c r="F36" i="3"/>
  <c r="F43" i="3"/>
  <c r="E83" i="3" l="1"/>
  <c r="F50" i="3"/>
  <c r="G50" i="3" s="1"/>
  <c r="F75" i="3"/>
  <c r="F87" i="3"/>
  <c r="F77" i="3"/>
  <c r="F88" i="3"/>
  <c r="F78" i="3"/>
  <c r="F73" i="3"/>
  <c r="F63" i="3"/>
  <c r="F67" i="3"/>
  <c r="F80" i="3"/>
  <c r="F68" i="3"/>
  <c r="F85" i="3"/>
  <c r="F74" i="3"/>
  <c r="F69" i="3"/>
  <c r="F82" i="3"/>
  <c r="F71" i="3"/>
  <c r="F83" i="3"/>
  <c r="F56" i="3"/>
  <c r="F57" i="3"/>
  <c r="F58" i="3"/>
  <c r="F48" i="3"/>
  <c r="F59" i="3"/>
  <c r="F52" i="3"/>
  <c r="F49" i="3"/>
  <c r="F60" i="3"/>
  <c r="F62" i="3"/>
  <c r="F51" i="3"/>
  <c r="F61" i="3"/>
  <c r="F53" i="3"/>
  <c r="F55" i="3"/>
  <c r="F54" i="3"/>
  <c r="B11" i="7"/>
  <c r="E63" i="3"/>
  <c r="D14" i="6"/>
  <c r="H22" i="1" s="1"/>
  <c r="D3" i="6"/>
  <c r="H20" i="1" s="1"/>
  <c r="E100" i="3"/>
  <c r="E89" i="3"/>
  <c r="G20" i="1" s="1"/>
  <c r="E77" i="3"/>
  <c r="E11" i="7" l="1"/>
  <c r="B9" i="19"/>
  <c r="D9" i="19" s="1"/>
  <c r="F9" i="19" s="1"/>
  <c r="F94" i="3"/>
  <c r="G94" i="3" s="1"/>
  <c r="F90" i="3"/>
  <c r="G90" i="3" s="1"/>
  <c r="F65" i="3"/>
  <c r="G65" i="3" s="1"/>
  <c r="F66" i="3"/>
  <c r="G66" i="3" s="1"/>
  <c r="F79" i="3"/>
  <c r="F86" i="3"/>
  <c r="F81" i="3"/>
  <c r="F72" i="3"/>
  <c r="F84" i="3"/>
  <c r="F64" i="3"/>
  <c r="G64" i="3" s="1"/>
  <c r="F70" i="3"/>
  <c r="G70" i="3" s="1"/>
  <c r="D20" i="6"/>
  <c r="E106" i="3"/>
  <c r="G77" i="3"/>
  <c r="F22" i="1"/>
  <c r="G22" i="1"/>
  <c r="G63" i="3"/>
  <c r="F98" i="3"/>
  <c r="F109" i="3"/>
  <c r="F99" i="3"/>
  <c r="F110" i="3"/>
  <c r="F89" i="3"/>
  <c r="G89" i="3" s="1"/>
  <c r="F103" i="3"/>
  <c r="F101" i="3"/>
  <c r="F91" i="3"/>
  <c r="F107" i="3"/>
  <c r="F102" i="3"/>
  <c r="F92" i="3"/>
  <c r="F104" i="3"/>
  <c r="F106" i="3"/>
  <c r="F96" i="3"/>
  <c r="F97" i="3"/>
  <c r="F111" i="3"/>
  <c r="F93" i="3"/>
  <c r="F105" i="3"/>
  <c r="F108" i="3"/>
  <c r="F95" i="3"/>
  <c r="F100" i="3"/>
  <c r="G100" i="3" s="1"/>
  <c r="F20" i="1"/>
  <c r="H47" i="1" l="1"/>
  <c r="D47" i="1"/>
  <c r="G47" i="1"/>
  <c r="E47" i="1"/>
  <c r="F47" i="1"/>
  <c r="C47" i="1"/>
  <c r="E4" i="6"/>
  <c r="F4" i="6" s="1"/>
  <c r="D4" i="7"/>
  <c r="B4" i="7"/>
  <c r="B4" i="19" s="1"/>
  <c r="D4" i="19" s="1"/>
  <c r="F4" i="19" s="1"/>
  <c r="B5" i="7"/>
  <c r="D5" i="7"/>
  <c r="E8" i="6"/>
  <c r="F8" i="6" s="1"/>
  <c r="E10" i="6"/>
  <c r="E11" i="6"/>
  <c r="E3" i="6"/>
  <c r="F3" i="6" s="1"/>
  <c r="E9" i="6"/>
  <c r="E7" i="6"/>
  <c r="F41" i="1" l="1"/>
  <c r="H41" i="1"/>
  <c r="E41" i="1"/>
  <c r="D41" i="1"/>
  <c r="C41" i="1"/>
  <c r="G41" i="1"/>
  <c r="E5" i="7"/>
  <c r="B5" i="19"/>
  <c r="D5" i="19" s="1"/>
  <c r="F5" i="19" s="1"/>
  <c r="E4" i="7"/>
  <c r="G17" i="3"/>
  <c r="D42" i="1" l="1"/>
  <c r="C42" i="1"/>
  <c r="E42" i="1"/>
  <c r="F42" i="1"/>
  <c r="H42" i="1"/>
  <c r="G42" i="1"/>
  <c r="G33" i="3" l="1"/>
  <c r="G49" i="3" l="1"/>
  <c r="G69" i="3" l="1"/>
  <c r="G93" i="3" l="1"/>
  <c r="D6" i="6" l="1"/>
  <c r="E92" i="3"/>
  <c r="E68" i="3"/>
  <c r="E48" i="3"/>
  <c r="E32" i="3"/>
  <c r="E16" i="3"/>
  <c r="G48" i="3" l="1"/>
  <c r="E15" i="1"/>
  <c r="G92" i="3"/>
  <c r="G15" i="1"/>
  <c r="G16" i="3"/>
  <c r="C15" i="1"/>
  <c r="G32" i="3"/>
  <c r="D15" i="1"/>
  <c r="G68" i="3"/>
  <c r="F15" i="1"/>
  <c r="F7" i="6"/>
  <c r="D8" i="3" l="1"/>
  <c r="F47" i="3"/>
  <c r="F31" i="3"/>
  <c r="F3" i="3"/>
  <c r="E25" i="6"/>
  <c r="E24" i="6"/>
  <c r="E23" i="6"/>
  <c r="E22" i="6"/>
  <c r="E21" i="6"/>
  <c r="E20" i="6"/>
  <c r="E19" i="6"/>
  <c r="E18" i="6"/>
  <c r="E16" i="6"/>
  <c r="E15" i="6"/>
  <c r="E13" i="6"/>
  <c r="E12" i="6"/>
  <c r="E17" i="6"/>
  <c r="E14" i="6"/>
  <c r="F14" i="6" s="1"/>
  <c r="E6" i="6"/>
  <c r="E5" i="6"/>
  <c r="D11" i="7"/>
  <c r="D10" i="7"/>
  <c r="D9" i="7"/>
  <c r="D8" i="7"/>
  <c r="D7" i="7"/>
  <c r="D6" i="7"/>
  <c r="D3" i="7"/>
  <c r="E10" i="3" l="1"/>
  <c r="G10" i="3" l="1"/>
  <c r="E7" i="3"/>
  <c r="G7" i="3" s="1"/>
  <c r="E6" i="3"/>
  <c r="G6" i="3" s="1"/>
  <c r="E15" i="11" l="1"/>
  <c r="B15" i="14" s="1"/>
  <c r="E15" i="14" l="1"/>
  <c r="F15" i="14" s="1"/>
  <c r="G15" i="14" s="1"/>
  <c r="C88" i="3" l="1"/>
  <c r="C111" i="3"/>
  <c r="B25" i="6"/>
  <c r="C87" i="3" l="1"/>
  <c r="C110" i="3"/>
  <c r="B24" i="6"/>
  <c r="D11" i="6"/>
  <c r="E97" i="3"/>
  <c r="E73" i="3"/>
  <c r="E53" i="3"/>
  <c r="E37" i="3"/>
  <c r="E21" i="3"/>
  <c r="E3" i="11"/>
  <c r="B3" i="14" s="1"/>
  <c r="E4" i="11"/>
  <c r="B4" i="14" s="1"/>
  <c r="E4" i="14" s="1"/>
  <c r="F4" i="14" s="1"/>
  <c r="G4" i="14" s="1"/>
  <c r="E5" i="11"/>
  <c r="B5" i="14" s="1"/>
  <c r="E5" i="14" s="1"/>
  <c r="F5" i="14" s="1"/>
  <c r="G5" i="14" s="1"/>
  <c r="E6" i="11"/>
  <c r="B6" i="14" s="1"/>
  <c r="E6" i="14" s="1"/>
  <c r="F6" i="14" s="1"/>
  <c r="G6" i="14" s="1"/>
  <c r="E7" i="11"/>
  <c r="B7" i="14" s="1"/>
  <c r="E7" i="14" s="1"/>
  <c r="F7" i="14" s="1"/>
  <c r="G7" i="14" s="1"/>
  <c r="E8" i="11"/>
  <c r="B8" i="14" s="1"/>
  <c r="E8" i="14" s="1"/>
  <c r="F8" i="14" s="1"/>
  <c r="G8" i="14" s="1"/>
  <c r="E9" i="11"/>
  <c r="B9" i="14" s="1"/>
  <c r="E9" i="14" s="1"/>
  <c r="F9" i="14" s="1"/>
  <c r="G9" i="14" s="1"/>
  <c r="E10" i="11"/>
  <c r="B10" i="14" s="1"/>
  <c r="E10" i="14" s="1"/>
  <c r="F10" i="14" s="1"/>
  <c r="G10" i="14" s="1"/>
  <c r="E11" i="11"/>
  <c r="B11" i="14" s="1"/>
  <c r="E11" i="14" s="1"/>
  <c r="F11" i="14" s="1"/>
  <c r="G11" i="14" s="1"/>
  <c r="E12" i="11"/>
  <c r="B12" i="14" s="1"/>
  <c r="E12" i="14" s="1"/>
  <c r="F12" i="14" s="1"/>
  <c r="G12" i="14" s="1"/>
  <c r="E13" i="11"/>
  <c r="B13" i="14" s="1"/>
  <c r="E13" i="14" s="1"/>
  <c r="F13" i="14" s="1"/>
  <c r="G13" i="14" s="1"/>
  <c r="E14" i="11"/>
  <c r="B14" i="14" s="1"/>
  <c r="E14" i="14" s="1"/>
  <c r="F14" i="14" s="1"/>
  <c r="G14" i="14" s="1"/>
  <c r="E16" i="11"/>
  <c r="B16" i="14" s="1"/>
  <c r="E17" i="11"/>
  <c r="B17" i="14" s="1"/>
  <c r="E17" i="14" s="1"/>
  <c r="F17" i="14" s="1"/>
  <c r="G17" i="14" s="1"/>
  <c r="D13" i="6"/>
  <c r="H19" i="1" s="1"/>
  <c r="E71" i="3"/>
  <c r="F14" i="1"/>
  <c r="E58" i="3"/>
  <c r="E23" i="1" s="1"/>
  <c r="E39" i="3"/>
  <c r="D19" i="1" s="1"/>
  <c r="C14" i="1"/>
  <c r="E13" i="3"/>
  <c r="E5" i="3"/>
  <c r="G5" i="3" s="1"/>
  <c r="C8" i="3"/>
  <c r="E23" i="3"/>
  <c r="C19" i="1" s="1"/>
  <c r="E19" i="3"/>
  <c r="E20" i="3"/>
  <c r="G20" i="3" s="1"/>
  <c r="E26" i="3"/>
  <c r="C23" i="1" s="1"/>
  <c r="E22" i="3"/>
  <c r="E25" i="3"/>
  <c r="C29" i="1" s="1"/>
  <c r="E11" i="3"/>
  <c r="G11" i="3" s="1"/>
  <c r="G12" i="3"/>
  <c r="E14" i="3"/>
  <c r="E3" i="3"/>
  <c r="E27" i="3"/>
  <c r="C34" i="1" s="1"/>
  <c r="E28" i="3"/>
  <c r="C35" i="1" s="1"/>
  <c r="C36" i="1"/>
  <c r="E30" i="3"/>
  <c r="C58" i="1" s="1"/>
  <c r="E43" i="3"/>
  <c r="D34" i="1" s="1"/>
  <c r="E44" i="3"/>
  <c r="D35" i="1" s="1"/>
  <c r="D36" i="1"/>
  <c r="D58" i="1"/>
  <c r="D14" i="1"/>
  <c r="E35" i="3"/>
  <c r="E36" i="3"/>
  <c r="G36" i="3" s="1"/>
  <c r="E42" i="3"/>
  <c r="D23" i="1" s="1"/>
  <c r="E38" i="3"/>
  <c r="E41" i="3"/>
  <c r="D29" i="1" s="1"/>
  <c r="E59" i="3"/>
  <c r="E34" i="1" s="1"/>
  <c r="E60" i="3"/>
  <c r="E35" i="1" s="1"/>
  <c r="E36" i="1"/>
  <c r="E62" i="3"/>
  <c r="E58" i="1" s="1"/>
  <c r="E14" i="1"/>
  <c r="E55" i="3"/>
  <c r="E19" i="1" s="1"/>
  <c r="E51" i="3"/>
  <c r="E52" i="3"/>
  <c r="G52" i="3" s="1"/>
  <c r="E54" i="3"/>
  <c r="E57" i="3"/>
  <c r="E29" i="1" s="1"/>
  <c r="E81" i="3"/>
  <c r="F34" i="1" s="1"/>
  <c r="E82" i="3"/>
  <c r="F35" i="1" s="1"/>
  <c r="F36" i="1"/>
  <c r="E84" i="3"/>
  <c r="F58" i="1" s="1"/>
  <c r="E72" i="3"/>
  <c r="G72" i="3" s="1"/>
  <c r="E75" i="3"/>
  <c r="F19" i="1" s="1"/>
  <c r="E80" i="3"/>
  <c r="F23" i="1" s="1"/>
  <c r="E74" i="3"/>
  <c r="C85" i="3"/>
  <c r="C86" i="3"/>
  <c r="E79" i="3"/>
  <c r="F29" i="1" s="1"/>
  <c r="E104" i="3"/>
  <c r="E105" i="3"/>
  <c r="G35" i="1" s="1"/>
  <c r="E107" i="3"/>
  <c r="G58" i="1" s="1"/>
  <c r="E99" i="3"/>
  <c r="E95" i="3"/>
  <c r="E96" i="3"/>
  <c r="G96" i="3" s="1"/>
  <c r="E103" i="3"/>
  <c r="G23" i="1" s="1"/>
  <c r="E98" i="3"/>
  <c r="G98" i="3" s="1"/>
  <c r="C108" i="3"/>
  <c r="C109" i="3"/>
  <c r="E102" i="3"/>
  <c r="B5" i="8"/>
  <c r="D18" i="6"/>
  <c r="H34" i="1" s="1"/>
  <c r="D19" i="6"/>
  <c r="H35" i="1" s="1"/>
  <c r="H36" i="1"/>
  <c r="D21" i="6"/>
  <c r="H58" i="1" s="1"/>
  <c r="B22" i="6"/>
  <c r="B23" i="6"/>
  <c r="H14" i="1"/>
  <c r="H15" i="1"/>
  <c r="D9" i="6"/>
  <c r="D10" i="6"/>
  <c r="F10" i="6" s="1"/>
  <c r="D17" i="6"/>
  <c r="H23" i="1" s="1"/>
  <c r="D12" i="6"/>
  <c r="D16" i="6"/>
  <c r="H29" i="1" s="1"/>
  <c r="F5" i="7" l="1"/>
  <c r="F4" i="7"/>
  <c r="F18" i="1"/>
  <c r="H18" i="1"/>
  <c r="G51" i="3"/>
  <c r="E17" i="1"/>
  <c r="G99" i="3"/>
  <c r="G19" i="1"/>
  <c r="G97" i="3"/>
  <c r="G18" i="1"/>
  <c r="G19" i="3"/>
  <c r="C17" i="1"/>
  <c r="G95" i="3"/>
  <c r="G17" i="1"/>
  <c r="G102" i="3"/>
  <c r="G29" i="1"/>
  <c r="G106" i="3"/>
  <c r="G36" i="1"/>
  <c r="C18" i="1"/>
  <c r="B3" i="7"/>
  <c r="B7" i="2"/>
  <c r="G91" i="3"/>
  <c r="G14" i="1"/>
  <c r="G71" i="3"/>
  <c r="F17" i="1"/>
  <c r="D18" i="1"/>
  <c r="F9" i="6"/>
  <c r="H17" i="1"/>
  <c r="G104" i="3"/>
  <c r="G34" i="1"/>
  <c r="G35" i="3"/>
  <c r="D17" i="1"/>
  <c r="G4" i="3"/>
  <c r="C12" i="1"/>
  <c r="E18" i="1"/>
  <c r="F6" i="6"/>
  <c r="F11" i="6"/>
  <c r="F13" i="6"/>
  <c r="F12" i="6"/>
  <c r="F19" i="6"/>
  <c r="F18" i="6"/>
  <c r="F5" i="6"/>
  <c r="F21" i="6"/>
  <c r="F20" i="6"/>
  <c r="F16" i="6"/>
  <c r="F17" i="6"/>
  <c r="G107" i="3"/>
  <c r="G105" i="3"/>
  <c r="G103" i="3"/>
  <c r="G75" i="3"/>
  <c r="G79" i="3"/>
  <c r="G67" i="3"/>
  <c r="G80" i="3"/>
  <c r="G84" i="3"/>
  <c r="G83" i="3"/>
  <c r="G82" i="3"/>
  <c r="G81" i="3"/>
  <c r="G74" i="3"/>
  <c r="G73" i="3"/>
  <c r="G60" i="3"/>
  <c r="G58" i="3"/>
  <c r="G59" i="3"/>
  <c r="G54" i="3"/>
  <c r="G55" i="3"/>
  <c r="G57" i="3"/>
  <c r="G47" i="3"/>
  <c r="G62" i="3"/>
  <c r="G53" i="3"/>
  <c r="G61" i="3"/>
  <c r="G44" i="3"/>
  <c r="G39" i="3"/>
  <c r="G38" i="3"/>
  <c r="G42" i="3"/>
  <c r="G43" i="3"/>
  <c r="G41" i="3"/>
  <c r="G31" i="3"/>
  <c r="G46" i="3"/>
  <c r="G45" i="3"/>
  <c r="G37" i="3"/>
  <c r="G22" i="3"/>
  <c r="G26" i="3"/>
  <c r="G29" i="3"/>
  <c r="G23" i="3"/>
  <c r="G30" i="3"/>
  <c r="G27" i="3"/>
  <c r="G28" i="3"/>
  <c r="G3" i="3"/>
  <c r="G14" i="3"/>
  <c r="B9" i="2" s="1"/>
  <c r="G13" i="3"/>
  <c r="B8" i="2" s="1"/>
  <c r="G15" i="3"/>
  <c r="G21" i="3"/>
  <c r="G25" i="3"/>
  <c r="C13" i="2"/>
  <c r="D13" i="2"/>
  <c r="B13" i="2"/>
  <c r="D15" i="6"/>
  <c r="H28" i="1" s="1"/>
  <c r="C5" i="16" s="1"/>
  <c r="D5" i="16" s="1"/>
  <c r="E85" i="3"/>
  <c r="F24" i="1" s="1"/>
  <c r="E18" i="11"/>
  <c r="B7" i="7" s="1"/>
  <c r="D23" i="6"/>
  <c r="H25" i="1" s="1"/>
  <c r="D24" i="6"/>
  <c r="H26" i="1" s="1"/>
  <c r="E88" i="3"/>
  <c r="F27" i="1" s="1"/>
  <c r="D22" i="6"/>
  <c r="H24" i="1" s="1"/>
  <c r="B4" i="2"/>
  <c r="E16" i="14"/>
  <c r="F16" i="14" s="1"/>
  <c r="G16" i="14" s="1"/>
  <c r="E3" i="14"/>
  <c r="F3" i="14" s="1"/>
  <c r="G3" i="14" s="1"/>
  <c r="E108" i="3"/>
  <c r="G24" i="1" s="1"/>
  <c r="E110" i="3"/>
  <c r="G26" i="1" s="1"/>
  <c r="E8" i="3"/>
  <c r="E109" i="3"/>
  <c r="E111" i="3"/>
  <c r="E87" i="3"/>
  <c r="F26" i="1" s="1"/>
  <c r="E86" i="3"/>
  <c r="F25" i="1" s="1"/>
  <c r="G9" i="3"/>
  <c r="C3" i="16" l="1"/>
  <c r="D3" i="16" s="1"/>
  <c r="E3" i="7"/>
  <c r="B3" i="19"/>
  <c r="D3" i="19" s="1"/>
  <c r="F3" i="19" s="1"/>
  <c r="C6" i="16"/>
  <c r="D6" i="16" s="1"/>
  <c r="C4" i="16"/>
  <c r="D4" i="16" s="1"/>
  <c r="G49" i="1"/>
  <c r="E49" i="1"/>
  <c r="C49" i="1"/>
  <c r="F49" i="1"/>
  <c r="H49" i="1"/>
  <c r="D49" i="1"/>
  <c r="G50" i="1"/>
  <c r="F50" i="1"/>
  <c r="H50" i="1"/>
  <c r="E50" i="1"/>
  <c r="D50" i="1"/>
  <c r="C50" i="1"/>
  <c r="G8" i="3"/>
  <c r="C13" i="1"/>
  <c r="G111" i="3"/>
  <c r="G27" i="1"/>
  <c r="G109" i="3"/>
  <c r="G25" i="1"/>
  <c r="F22" i="6"/>
  <c r="F23" i="6"/>
  <c r="F15" i="6"/>
  <c r="F24" i="6"/>
  <c r="G108" i="3"/>
  <c r="G110" i="3"/>
  <c r="G85" i="3"/>
  <c r="G87" i="3"/>
  <c r="G86" i="3"/>
  <c r="G88" i="3"/>
  <c r="C37" i="1"/>
  <c r="B3" i="2"/>
  <c r="H37" i="1"/>
  <c r="G37" i="1"/>
  <c r="E37" i="1"/>
  <c r="F37" i="1"/>
  <c r="D37" i="1"/>
  <c r="G13" i="2"/>
  <c r="E13" i="2"/>
  <c r="F13" i="2"/>
  <c r="E78" i="3"/>
  <c r="F28" i="1" s="1"/>
  <c r="E56" i="3"/>
  <c r="E28" i="1" s="1"/>
  <c r="E40" i="3"/>
  <c r="D28" i="1" s="1"/>
  <c r="E101" i="3"/>
  <c r="G28" i="1" s="1"/>
  <c r="E24" i="3"/>
  <c r="C28" i="1" s="1"/>
  <c r="E18" i="14"/>
  <c r="C7" i="7" s="1"/>
  <c r="B9" i="7"/>
  <c r="B7" i="19" s="1"/>
  <c r="D7" i="19" s="1"/>
  <c r="F7" i="19" s="1"/>
  <c r="B8" i="7"/>
  <c r="B6" i="19" s="1"/>
  <c r="D6" i="19" s="1"/>
  <c r="F6" i="19" s="1"/>
  <c r="B18" i="14"/>
  <c r="B6" i="7"/>
  <c r="D25" i="6"/>
  <c r="H27" i="1" s="1"/>
  <c r="F44" i="1" l="1"/>
  <c r="G44" i="1"/>
  <c r="H44" i="1"/>
  <c r="C44" i="1"/>
  <c r="E44" i="1"/>
  <c r="D44" i="1"/>
  <c r="C40" i="1"/>
  <c r="D40" i="1"/>
  <c r="E40" i="1"/>
  <c r="G40" i="1"/>
  <c r="F40" i="1"/>
  <c r="H40" i="1"/>
  <c r="E45" i="1"/>
  <c r="F45" i="1"/>
  <c r="D45" i="1"/>
  <c r="G45" i="1"/>
  <c r="H45" i="1"/>
  <c r="C45" i="1"/>
  <c r="E9" i="7"/>
  <c r="F9" i="7" s="1"/>
  <c r="E6" i="7"/>
  <c r="F6" i="7" s="1"/>
  <c r="E8" i="7"/>
  <c r="F8" i="7" s="1"/>
  <c r="G53" i="1" s="1"/>
  <c r="E7" i="7"/>
  <c r="F7" i="7" s="1"/>
  <c r="C10" i="16"/>
  <c r="D10" i="16" s="1"/>
  <c r="C7" i="16"/>
  <c r="D7" i="16" s="1"/>
  <c r="C8" i="16"/>
  <c r="D8" i="16" s="1"/>
  <c r="C9" i="16"/>
  <c r="D9" i="16" s="1"/>
  <c r="F18" i="14"/>
  <c r="G18" i="14" s="1"/>
  <c r="F10" i="19" s="1"/>
  <c r="F25" i="6"/>
  <c r="G101" i="3"/>
  <c r="G78" i="3"/>
  <c r="G56" i="3"/>
  <c r="G40" i="3"/>
  <c r="G24" i="3"/>
  <c r="H30" i="1"/>
  <c r="H31" i="1" s="1"/>
  <c r="H32" i="1" s="1"/>
  <c r="F11" i="7"/>
  <c r="F30" i="1"/>
  <c r="F31" i="1" s="1"/>
  <c r="F32" i="1" s="1"/>
  <c r="F38" i="1" s="1"/>
  <c r="G30" i="1"/>
  <c r="G31" i="1" s="1"/>
  <c r="G32" i="1" s="1"/>
  <c r="G38" i="1" s="1"/>
  <c r="D30" i="1"/>
  <c r="D31" i="1" s="1"/>
  <c r="D32" i="1" s="1"/>
  <c r="D38" i="1" s="1"/>
  <c r="E30" i="1"/>
  <c r="E31" i="1" s="1"/>
  <c r="E32" i="1" s="1"/>
  <c r="B10" i="7"/>
  <c r="C30" i="1"/>
  <c r="C31" i="1" s="1"/>
  <c r="G43" i="1" l="1"/>
  <c r="C43" i="1"/>
  <c r="D43" i="1"/>
  <c r="E43" i="1"/>
  <c r="F43" i="1"/>
  <c r="H43" i="1"/>
  <c r="E10" i="7"/>
  <c r="F10" i="7" s="1"/>
  <c r="B8" i="19"/>
  <c r="D8" i="19" s="1"/>
  <c r="F8" i="19" s="1"/>
  <c r="H54" i="1"/>
  <c r="D54" i="1"/>
  <c r="C54" i="1"/>
  <c r="G54" i="1"/>
  <c r="E54" i="1"/>
  <c r="F54" i="1"/>
  <c r="C52" i="1"/>
  <c r="G52" i="1"/>
  <c r="D52" i="1"/>
  <c r="F52" i="1"/>
  <c r="E52" i="1"/>
  <c r="H52" i="1"/>
  <c r="C51" i="1"/>
  <c r="E51" i="1"/>
  <c r="D51" i="1"/>
  <c r="H51" i="1"/>
  <c r="F51" i="1"/>
  <c r="G51" i="1"/>
  <c r="H38" i="1"/>
  <c r="C32" i="1"/>
  <c r="C33" i="1" s="1"/>
  <c r="E56" i="1"/>
  <c r="D56" i="1"/>
  <c r="C56" i="1"/>
  <c r="G39" i="1"/>
  <c r="F39" i="1"/>
  <c r="D39" i="1"/>
  <c r="E33" i="1"/>
  <c r="E38" i="1"/>
  <c r="F33" i="1"/>
  <c r="D33" i="1"/>
  <c r="G33" i="1"/>
  <c r="H33" i="1"/>
  <c r="F3" i="7"/>
  <c r="F48" i="1" s="1"/>
  <c r="D11" i="2"/>
  <c r="D12" i="2" s="1"/>
  <c r="G11" i="2"/>
  <c r="G12" i="2" s="1"/>
  <c r="E11" i="2"/>
  <c r="E12" i="2" s="1"/>
  <c r="C11" i="2"/>
  <c r="C12" i="2" s="1"/>
  <c r="F11" i="2"/>
  <c r="F12" i="2" s="1"/>
  <c r="H56" i="1"/>
  <c r="G56" i="1"/>
  <c r="H53" i="1"/>
  <c r="F56" i="1"/>
  <c r="D53" i="1"/>
  <c r="C53" i="1"/>
  <c r="F53" i="1"/>
  <c r="E53" i="1"/>
  <c r="H46" i="1" l="1"/>
  <c r="F46" i="1"/>
  <c r="E46" i="1"/>
  <c r="C46" i="1"/>
  <c r="D46" i="1"/>
  <c r="D61" i="1" s="1"/>
  <c r="G46" i="1"/>
  <c r="G61" i="1" s="1"/>
  <c r="H39" i="1"/>
  <c r="E48" i="1"/>
  <c r="E39" i="1"/>
  <c r="C38" i="1"/>
  <c r="C48" i="1"/>
  <c r="H48" i="1"/>
  <c r="G48" i="1"/>
  <c r="D48" i="1"/>
  <c r="B11" i="2"/>
  <c r="B12" i="2" s="1"/>
  <c r="E14" i="2"/>
  <c r="F14" i="2"/>
  <c r="C14" i="2"/>
  <c r="D14" i="2"/>
  <c r="G14" i="2"/>
  <c r="H55" i="1"/>
  <c r="F55" i="1"/>
  <c r="E55" i="1"/>
  <c r="D55" i="1"/>
  <c r="C55" i="1"/>
  <c r="G55" i="1"/>
  <c r="C13" i="16"/>
  <c r="D13" i="16" s="1"/>
  <c r="F61" i="1"/>
  <c r="E61" i="1"/>
  <c r="C12" i="16" l="1"/>
  <c r="D12" i="16" s="1"/>
  <c r="C14" i="16"/>
  <c r="D14" i="16" s="1"/>
  <c r="C11" i="16"/>
  <c r="D11" i="16" s="1"/>
  <c r="H61" i="1"/>
  <c r="C39" i="1"/>
  <c r="C61" i="1"/>
  <c r="C60" i="1"/>
  <c r="C62" i="1" s="1"/>
  <c r="C63" i="1" s="1"/>
  <c r="C65" i="1" s="1"/>
  <c r="D57" i="1" s="1"/>
  <c r="B14" i="2"/>
  <c r="C64" i="1" l="1"/>
  <c r="D60" i="1"/>
  <c r="D62" i="1" l="1"/>
  <c r="D63" i="1" s="1"/>
  <c r="D64" i="1" l="1"/>
  <c r="D65" i="1"/>
  <c r="E57" i="1" s="1"/>
  <c r="E60" i="1" s="1"/>
  <c r="E62" i="1" s="1"/>
  <c r="E63" i="1" s="1"/>
  <c r="E64" i="1" s="1"/>
  <c r="E65" i="1" l="1"/>
  <c r="F57" i="1" s="1"/>
  <c r="F60" i="1" s="1"/>
  <c r="F62" i="1" l="1"/>
  <c r="F63" i="1" s="1"/>
  <c r="F64" i="1" l="1"/>
  <c r="F65" i="1"/>
  <c r="G57" i="1" s="1"/>
  <c r="G60" i="1" s="1"/>
  <c r="G62" i="1" l="1"/>
  <c r="G63" i="1" s="1"/>
  <c r="G65" i="1" s="1"/>
  <c r="B3" i="8" s="1"/>
  <c r="B7" i="8" s="1"/>
  <c r="G64" i="1" l="1"/>
  <c r="H59" i="1"/>
  <c r="C18" i="16" l="1"/>
  <c r="D18" i="16" s="1"/>
  <c r="C17" i="16"/>
  <c r="D17" i="16" s="1"/>
  <c r="C16" i="16"/>
  <c r="D16" i="16" s="1"/>
  <c r="C15" i="16"/>
  <c r="D15" i="16" s="1"/>
  <c r="H60" i="1"/>
  <c r="H62" i="1" l="1"/>
  <c r="H63" i="1" s="1"/>
  <c r="H64" i="1" s="1"/>
</calcChain>
</file>

<file path=xl/sharedStrings.xml><?xml version="1.0" encoding="utf-8"?>
<sst xmlns="http://schemas.openxmlformats.org/spreadsheetml/2006/main" count="891" uniqueCount="486">
  <si>
    <t>By R. Karina Gallardo, Suzette P. Galinato and Bernardita Sallato</t>
  </si>
  <si>
    <t>Instructions for Using the Spreadsheets</t>
  </si>
  <si>
    <r>
      <t xml:space="preserve">Values in </t>
    </r>
    <r>
      <rPr>
        <b/>
        <sz val="11"/>
        <rFont val="Times New Roman"/>
        <family val="1"/>
      </rPr>
      <t>black</t>
    </r>
    <r>
      <rPr>
        <sz val="11"/>
        <rFont val="Times New Roman"/>
        <family val="1"/>
      </rPr>
      <t xml:space="preserve"> are calculated using the input data and cannot be modified.</t>
    </r>
  </si>
  <si>
    <t xml:space="preserve">Budget Assumptions </t>
  </si>
  <si>
    <t>The area of the total farm operation is 300 acres of mixed conventional tree fruits. Bearing acres include: 225 acres of apples (75% of total area); 48 acres of sweet cherries (16%), and 27 acres of pears (9%).</t>
  </si>
  <si>
    <t>The irrigation system consists of overhead cooling and under tree drip lines, with two separate sub-main lines. Water is provided through a public irrigation district.</t>
  </si>
  <si>
    <t xml:space="preserve">Interest on investment represents a 5% opportunity cost to the enterprise. These are forgone earnings for investing money in orchard, equipment and buildings rather than in an alternative activity. This also represents interest on funds borrowed to finance orchard, equipment, and building purchases. </t>
  </si>
  <si>
    <t>Architecture</t>
  </si>
  <si>
    <t>In-row Spacing</t>
  </si>
  <si>
    <t>Between-row Spacing</t>
  </si>
  <si>
    <t>Rootstock</t>
  </si>
  <si>
    <t>Productive Block Size</t>
  </si>
  <si>
    <t>Life of Planting</t>
  </si>
  <si>
    <t>Tree Density</t>
  </si>
  <si>
    <t>Trellis System</t>
  </si>
  <si>
    <t xml:space="preserve"> Year 1</t>
  </si>
  <si>
    <t>Year 2</t>
  </si>
  <si>
    <t>Year 3</t>
  </si>
  <si>
    <t>Year 4</t>
  </si>
  <si>
    <t>Year 5</t>
  </si>
  <si>
    <t>TOTAL RETURNS ($/acre)</t>
  </si>
  <si>
    <t>Soil Preparation</t>
  </si>
  <si>
    <t>Trees (including labor)</t>
  </si>
  <si>
    <t>Irrigation Water &amp; Electric Charge</t>
  </si>
  <si>
    <t>Beehives</t>
  </si>
  <si>
    <t>Maintenance &amp; Repair</t>
  </si>
  <si>
    <t>Fuel &amp; Lube</t>
  </si>
  <si>
    <t>Total Variable Costs</t>
  </si>
  <si>
    <t>Miscellaneous Supplies</t>
  </si>
  <si>
    <t>Land &amp; Property Taxes</t>
  </si>
  <si>
    <t>Total Fixed Cash Cost</t>
  </si>
  <si>
    <t>Total Cash Costs</t>
  </si>
  <si>
    <t>Return over Cash Costs</t>
  </si>
  <si>
    <t>Depreciation</t>
  </si>
  <si>
    <t>Irrigation System</t>
  </si>
  <si>
    <t>Machinery, Equipment, &amp; Building</t>
  </si>
  <si>
    <t>Mainline &amp; Pump</t>
  </si>
  <si>
    <t>Pond</t>
  </si>
  <si>
    <t>Trellis</t>
  </si>
  <si>
    <t>Wind Machine</t>
  </si>
  <si>
    <t>Interest</t>
  </si>
  <si>
    <t xml:space="preserve">Wind Machine </t>
  </si>
  <si>
    <t>Establishment Costs (5%)</t>
  </si>
  <si>
    <t>Management Cost</t>
  </si>
  <si>
    <t>Total Fixed Non-Cash Costs</t>
  </si>
  <si>
    <t>Return over Cash Costs and Depreciation</t>
  </si>
  <si>
    <t>Total Fixed Costs</t>
  </si>
  <si>
    <t>ESTIMATED NET RETURNS</t>
  </si>
  <si>
    <t>Accumulated Establishment Costs</t>
  </si>
  <si>
    <t>Notes:</t>
  </si>
  <si>
    <t>D</t>
  </si>
  <si>
    <t>E</t>
  </si>
  <si>
    <t>Total Cost</t>
  </si>
  <si>
    <t>G</t>
  </si>
  <si>
    <t>Total Requirements ($)</t>
  </si>
  <si>
    <t>Receipts ($)</t>
  </si>
  <si>
    <t>Net Requirements ($)</t>
  </si>
  <si>
    <t>Description</t>
  </si>
  <si>
    <r>
      <t>Purchase Price ($)</t>
    </r>
    <r>
      <rPr>
        <b/>
        <vertAlign val="superscript"/>
        <sz val="11"/>
        <rFont val="Times New Roman"/>
        <family val="1"/>
      </rPr>
      <t>A</t>
    </r>
  </si>
  <si>
    <t>Number of Units</t>
  </si>
  <si>
    <t>Total Cost ($)</t>
  </si>
  <si>
    <t>Tractor-70HP, 4WD</t>
  </si>
  <si>
    <t>70HP, 4WD</t>
  </si>
  <si>
    <t>Tractor-40HP, 4WD</t>
  </si>
  <si>
    <t>40HP, 4WD</t>
  </si>
  <si>
    <t>4-Wheeler</t>
  </si>
  <si>
    <t>2WD</t>
  </si>
  <si>
    <t>Speed Sprayer</t>
  </si>
  <si>
    <t>Weed Spray Boom &amp; Tank</t>
  </si>
  <si>
    <t>Mower-Rotary</t>
  </si>
  <si>
    <t>7 ft</t>
  </si>
  <si>
    <t>Flail Mower</t>
  </si>
  <si>
    <t>Fork Lift</t>
  </si>
  <si>
    <t>Bin Trailer</t>
  </si>
  <si>
    <t>Pickup Truck</t>
  </si>
  <si>
    <t>Full size</t>
  </si>
  <si>
    <t>Ladder</t>
  </si>
  <si>
    <t>8 ft</t>
  </si>
  <si>
    <t>Platforms</t>
  </si>
  <si>
    <t xml:space="preserve">Notes: </t>
  </si>
  <si>
    <t>A. Purchase price corresponds to new machinery, equipment or building.</t>
  </si>
  <si>
    <t>B. Includes manager office, restroom, pesticide handling area and storage, dry storage, area for equipment cover, and shop bay for equipment work/repair.</t>
  </si>
  <si>
    <t>C. Includes mobile portable toilet (2), box blade, straight blade, quick connect loader, mechanical weeder, detachable bucket for loading fertilizer, gopher baiter, soil aerator, utility trailer and ladder trailer (2).</t>
  </si>
  <si>
    <t>D. Includes compressor, welder, pressure washer and miscellaneous tools.</t>
  </si>
  <si>
    <t>Total Purchase Price ($)</t>
  </si>
  <si>
    <r>
      <t>Salvage Value ($)</t>
    </r>
    <r>
      <rPr>
        <b/>
        <vertAlign val="superscript"/>
        <sz val="11"/>
        <color indexed="8"/>
        <rFont val="Times New Roman"/>
        <family val="1"/>
      </rPr>
      <t>A</t>
    </r>
  </si>
  <si>
    <t>Number of Acres</t>
  </si>
  <si>
    <t>Total Interest Cost ($)</t>
  </si>
  <si>
    <r>
      <t>Interest Cost Per Acre ($)</t>
    </r>
    <r>
      <rPr>
        <b/>
        <vertAlign val="superscript"/>
        <sz val="11"/>
        <color indexed="8"/>
        <rFont val="Times New Roman"/>
        <family val="1"/>
      </rPr>
      <t>B</t>
    </r>
  </si>
  <si>
    <r>
      <t>Irrigation System</t>
    </r>
    <r>
      <rPr>
        <vertAlign val="superscript"/>
        <sz val="11"/>
        <rFont val="Times New Roman"/>
        <family val="1"/>
      </rPr>
      <t>C</t>
    </r>
  </si>
  <si>
    <t>Land</t>
  </si>
  <si>
    <t>N/A</t>
  </si>
  <si>
    <r>
      <t>Machinery, Equipment, &amp; Building</t>
    </r>
    <r>
      <rPr>
        <vertAlign val="superscript"/>
        <sz val="11"/>
        <rFont val="Times New Roman"/>
        <family val="1"/>
      </rPr>
      <t>D,E</t>
    </r>
  </si>
  <si>
    <r>
      <t>Mainline &amp; Pump</t>
    </r>
    <r>
      <rPr>
        <vertAlign val="superscript"/>
        <sz val="11"/>
        <color indexed="8"/>
        <rFont val="Times New Roman"/>
        <family val="1"/>
      </rPr>
      <t>C</t>
    </r>
  </si>
  <si>
    <r>
      <t>Pond</t>
    </r>
    <r>
      <rPr>
        <vertAlign val="superscript"/>
        <sz val="11"/>
        <rFont val="Times New Roman"/>
        <family val="1"/>
      </rPr>
      <t>C</t>
    </r>
  </si>
  <si>
    <r>
      <t>Trellis</t>
    </r>
    <r>
      <rPr>
        <vertAlign val="superscript"/>
        <sz val="11"/>
        <color indexed="8"/>
        <rFont val="Times New Roman"/>
        <family val="1"/>
      </rPr>
      <t>C</t>
    </r>
  </si>
  <si>
    <r>
      <t>Wind Machine</t>
    </r>
    <r>
      <rPr>
        <vertAlign val="superscript"/>
        <sz val="11"/>
        <rFont val="Times New Roman"/>
        <family val="1"/>
      </rPr>
      <t>C</t>
    </r>
  </si>
  <si>
    <t>Interest Rate</t>
  </si>
  <si>
    <t>A. Not applied to land because land is not a depreciable asset.</t>
  </si>
  <si>
    <t>B. Interest Cost is calculated as: (Total Purchase Price + Salvage Value)/2 x Interest Rate. For land, the calculation is: Total Purchase Price x Interest Rate, because there is no salvage value for land.</t>
  </si>
  <si>
    <t>Total Value Per Acre ($)</t>
  </si>
  <si>
    <t>Years of Useful Life</t>
  </si>
  <si>
    <r>
      <t>Depreciation Cost Per Acre ($/yr)</t>
    </r>
    <r>
      <rPr>
        <b/>
        <vertAlign val="superscript"/>
        <sz val="11"/>
        <color indexed="8"/>
        <rFont val="Times New Roman"/>
        <family val="1"/>
      </rPr>
      <t>A</t>
    </r>
  </si>
  <si>
    <r>
      <t>Machinery, Equipment, &amp; Building</t>
    </r>
    <r>
      <rPr>
        <vertAlign val="superscript"/>
        <sz val="11"/>
        <rFont val="Times New Roman"/>
        <family val="1"/>
      </rPr>
      <t>B</t>
    </r>
  </si>
  <si>
    <t>A. The depreciation cost is calculated as straight-line depreciation: (Total Purchase Price – Salvage Value)/Years of Use.</t>
  </si>
  <si>
    <t>Cost per Unit ($)</t>
  </si>
  <si>
    <t>Units per Acre</t>
  </si>
  <si>
    <t>Cost per Acre ($)</t>
  </si>
  <si>
    <t>Total Cost for Block ($)</t>
  </si>
  <si>
    <t>Year 1</t>
  </si>
  <si>
    <t>Mainline and Pump</t>
  </si>
  <si>
    <r>
      <t>Pond and filters with liners (custom)</t>
    </r>
    <r>
      <rPr>
        <vertAlign val="superscript"/>
        <sz val="11"/>
        <rFont val="Times New Roman"/>
        <family val="1"/>
      </rPr>
      <t>B</t>
    </r>
  </si>
  <si>
    <r>
      <t>Pruning and Training (labor)</t>
    </r>
    <r>
      <rPr>
        <vertAlign val="superscript"/>
        <sz val="11"/>
        <rFont val="Times New Roman"/>
        <family val="1"/>
      </rPr>
      <t>C</t>
    </r>
  </si>
  <si>
    <t>Irrigation Water</t>
  </si>
  <si>
    <t>Irrigation/Electric Charge</t>
  </si>
  <si>
    <t>A. Includes land for roads and buildings.</t>
  </si>
  <si>
    <t xml:space="preserve">B. Costs assume a lined pond.  </t>
  </si>
  <si>
    <r>
      <t>Pruning and Training (labor)</t>
    </r>
    <r>
      <rPr>
        <vertAlign val="superscript"/>
        <sz val="11"/>
        <rFont val="Times New Roman"/>
        <family val="1"/>
      </rPr>
      <t>A</t>
    </r>
  </si>
  <si>
    <r>
      <t>Management Overhead</t>
    </r>
    <r>
      <rPr>
        <vertAlign val="superscript"/>
        <sz val="11"/>
        <rFont val="Times New Roman"/>
        <family val="1"/>
      </rPr>
      <t>J</t>
    </r>
  </si>
  <si>
    <t>J. Includes management salary, cellphone, gas, etc.</t>
  </si>
  <si>
    <r>
      <t>Expected useful life (years)</t>
    </r>
    <r>
      <rPr>
        <b/>
        <vertAlign val="superscript"/>
        <sz val="11"/>
        <rFont val="Times New Roman"/>
        <family val="1"/>
      </rPr>
      <t>E</t>
    </r>
  </si>
  <si>
    <r>
      <t>Annual Depreciation Cost ($)</t>
    </r>
    <r>
      <rPr>
        <b/>
        <vertAlign val="superscript"/>
        <sz val="11"/>
        <rFont val="Times New Roman"/>
        <family val="1"/>
      </rPr>
      <t>G</t>
    </r>
  </si>
  <si>
    <r>
      <t>Annual Depreciation Cost per Acre ($)</t>
    </r>
    <r>
      <rPr>
        <b/>
        <vertAlign val="superscript"/>
        <sz val="11"/>
        <color theme="1"/>
        <rFont val="Times New Roman"/>
        <family val="1"/>
      </rPr>
      <t>H</t>
    </r>
  </si>
  <si>
    <r>
      <t>Salvage Value ($)</t>
    </r>
    <r>
      <rPr>
        <b/>
        <vertAlign val="superscript"/>
        <sz val="11"/>
        <rFont val="Times New Roman"/>
        <family val="1"/>
      </rPr>
      <t>F</t>
    </r>
  </si>
  <si>
    <r>
      <t>Machine shop/shed</t>
    </r>
    <r>
      <rPr>
        <vertAlign val="superscript"/>
        <sz val="11"/>
        <rFont val="Times New Roman"/>
        <family val="1"/>
      </rPr>
      <t>A</t>
    </r>
  </si>
  <si>
    <t>4 wheeler</t>
  </si>
  <si>
    <t>Speed sprayer</t>
  </si>
  <si>
    <t>Weed spray boom &amp; tank</t>
  </si>
  <si>
    <t>Mower-rotary (7 ft)</t>
  </si>
  <si>
    <t>Flail mower</t>
  </si>
  <si>
    <t>Fork lift</t>
  </si>
  <si>
    <t>Bin trailer</t>
  </si>
  <si>
    <t>Pick-up</t>
  </si>
  <si>
    <t>Ladder-8'</t>
  </si>
  <si>
    <r>
      <t>Miscellaneous equipment</t>
    </r>
    <r>
      <rPr>
        <vertAlign val="superscript"/>
        <sz val="11"/>
        <rFont val="Times New Roman"/>
        <family val="1"/>
      </rPr>
      <t>B</t>
    </r>
  </si>
  <si>
    <r>
      <t>Shop equipment</t>
    </r>
    <r>
      <rPr>
        <vertAlign val="superscript"/>
        <sz val="11"/>
        <rFont val="Times New Roman"/>
        <family val="1"/>
      </rPr>
      <t>C</t>
    </r>
  </si>
  <si>
    <t>Total</t>
  </si>
  <si>
    <t>A. Includes manager office, restroom, pesticide handling area and storage, dry storage, area for equipment cover, and shop bay for equipment work/repair.</t>
  </si>
  <si>
    <t>B. Includes mobile portable toilet (2), box blade, straight blade, quick connect loader, mechanical weeder, detachable bucket for loading fertilizer, gopher baiter, soil aerator, utility trailer and ladder trailer (2).</t>
  </si>
  <si>
    <t>C. Includes compressor, welder, pressure washer and miscellaneous tools.</t>
  </si>
  <si>
    <t>D. Purchase price corresponds to new machinery, equipment or building.</t>
  </si>
  <si>
    <t>E. These values  in orange must be changed as applicable to own production setting.</t>
  </si>
  <si>
    <r>
      <t xml:space="preserve">G. </t>
    </r>
    <r>
      <rPr>
        <i/>
        <sz val="10"/>
        <rFont val="Times New Roman"/>
        <family val="1"/>
      </rPr>
      <t>Depreciation cost</t>
    </r>
    <r>
      <rPr>
        <sz val="10"/>
        <rFont val="Times New Roman"/>
        <family val="1"/>
      </rPr>
      <t xml:space="preserve"> is calculated as straight line depreciation: (Total Purchase Price – Salvage Value)/Years of Use.</t>
    </r>
  </si>
  <si>
    <t>H. Depreciation cost is divided by total farm acreage (300 acres) in order to derive the per acre cost.</t>
  </si>
  <si>
    <t>Dollar amount to be amortized</t>
  </si>
  <si>
    <r>
      <t>Number of years</t>
    </r>
    <r>
      <rPr>
        <vertAlign val="superscript"/>
        <sz val="11"/>
        <color indexed="8"/>
        <rFont val="Times New Roman"/>
        <family val="1"/>
      </rPr>
      <t>A</t>
    </r>
  </si>
  <si>
    <t>Amortized Amount Per Year</t>
  </si>
  <si>
    <t xml:space="preserve">A. Total life of planting - establishment years </t>
  </si>
  <si>
    <t>Year 6 to 20 (Full Production)</t>
  </si>
  <si>
    <t>Notes</t>
  </si>
  <si>
    <t>Gross Production per acre (lbs)</t>
  </si>
  <si>
    <t>Picking begins in Year 4</t>
  </si>
  <si>
    <t>Land cost (value of land with water rights)</t>
  </si>
  <si>
    <t>Fumigation (custom)</t>
  </si>
  <si>
    <t>Rip and disk ground (custom)</t>
  </si>
  <si>
    <t>Including all fertilizer</t>
  </si>
  <si>
    <t>Fertilizer - labor hour</t>
  </si>
  <si>
    <t>Fertilizer - labor cost</t>
  </si>
  <si>
    <t>Tree removal (custom)</t>
  </si>
  <si>
    <t>Includes removal, wood chipping, and incorporating in the soil.</t>
  </si>
  <si>
    <t>Trees</t>
  </si>
  <si>
    <t>Planted trees per acre</t>
  </si>
  <si>
    <t>Tree cost per unit</t>
  </si>
  <si>
    <t>Cost of labor per hour</t>
  </si>
  <si>
    <t>Trellis (total cost)</t>
  </si>
  <si>
    <t>Netting</t>
  </si>
  <si>
    <t>Laterals, sprinklers, sub-lines</t>
  </si>
  <si>
    <t>Mainline</t>
  </si>
  <si>
    <t>Pumps (irrigation and frost), centrifugal</t>
  </si>
  <si>
    <t>Pond and filters with liners (purchase and installation)</t>
  </si>
  <si>
    <t>Hours of pruning</t>
  </si>
  <si>
    <t>Hours of training</t>
  </si>
  <si>
    <t>Thinning</t>
  </si>
  <si>
    <t>Chemicals</t>
  </si>
  <si>
    <t>Cost chemicals, materials</t>
  </si>
  <si>
    <t>Hours of chemical application</t>
  </si>
  <si>
    <t>Fertilizer after Soil Prep</t>
  </si>
  <si>
    <t>Cost of fertilizer - material</t>
  </si>
  <si>
    <t>All foliar fertilizer and ground fertilizer.</t>
  </si>
  <si>
    <t>Hours of fertilizer application</t>
  </si>
  <si>
    <t>Irrigation</t>
  </si>
  <si>
    <t>Water</t>
  </si>
  <si>
    <t>Irrigation/electric charge</t>
  </si>
  <si>
    <t xml:space="preserve">Irrigation </t>
  </si>
  <si>
    <t>Hours of irrigation labor</t>
  </si>
  <si>
    <t>Beehive</t>
  </si>
  <si>
    <t>Cost per bee hive</t>
  </si>
  <si>
    <t>Number of bee hives per acre</t>
  </si>
  <si>
    <t>Maintenance &amp; Repairs</t>
  </si>
  <si>
    <t>Mainline, pump &amp; pond</t>
  </si>
  <si>
    <t>Irrigation system</t>
  </si>
  <si>
    <t>Trellis system</t>
  </si>
  <si>
    <t>Wind machine &amp; alarm system</t>
  </si>
  <si>
    <t>Machinery repair (lump sum)</t>
  </si>
  <si>
    <t>Fuel and lube (lump sum including propane for wind machine)</t>
  </si>
  <si>
    <t xml:space="preserve">Average rate from transporting fruit from the orchard to the warehouse. </t>
  </si>
  <si>
    <t>Packing Cost</t>
  </si>
  <si>
    <t>Other</t>
  </si>
  <si>
    <t>Miscellaneous labor (lump sum) - General labor</t>
  </si>
  <si>
    <t xml:space="preserve">All other labor. Excludes pruning, training, thinning, chemical &amp; fertilizer application, planting, irrigation labor, harvest. </t>
  </si>
  <si>
    <t>Miscellaneous supplies (lump sum)</t>
  </si>
  <si>
    <t>Management Overhead</t>
  </si>
  <si>
    <t xml:space="preserve">Overhead </t>
  </si>
  <si>
    <t>Interest rate</t>
  </si>
  <si>
    <t>Establishment interest rate</t>
  </si>
  <si>
    <t>No. of years to borrow operating capital</t>
  </si>
  <si>
    <t>Total acres in block</t>
  </si>
  <si>
    <t>Total productive acres</t>
  </si>
  <si>
    <t>Tree density per acre</t>
  </si>
  <si>
    <t>Total orchard acres</t>
  </si>
  <si>
    <t>Manual ($/hour)</t>
  </si>
  <si>
    <t>B</t>
  </si>
  <si>
    <t>C. If there are other cash costs on an individual's orchard, these costs must be identified and included in the cash cost break-even return calculation.</t>
  </si>
  <si>
    <t>D. The second break-even return allows the producer to stay in business in the short run.</t>
  </si>
  <si>
    <t>E. The third break-even return allows the producer to stay in business in the long run.</t>
  </si>
  <si>
    <r>
      <t xml:space="preserve">G. The fourth break-even return is the </t>
    </r>
    <r>
      <rPr>
        <b/>
        <sz val="10"/>
        <color rgb="FF000000"/>
        <rFont val="Times New Roman"/>
        <family val="1"/>
      </rPr>
      <t>total cost break-even return</t>
    </r>
    <r>
      <rPr>
        <sz val="10"/>
        <color indexed="8"/>
        <rFont val="Times New Roman"/>
        <family val="1"/>
      </rPr>
      <t xml:space="preserve">. Only when this break-even return is received can the grower recover all out-of-pocket expenses </t>
    </r>
    <r>
      <rPr>
        <u/>
        <sz val="10"/>
        <color indexed="8"/>
        <rFont val="Times New Roman"/>
        <family val="1"/>
      </rPr>
      <t>plus</t>
    </r>
    <r>
      <rPr>
        <sz val="10"/>
        <color indexed="8"/>
        <rFont val="Times New Roman"/>
        <family val="1"/>
      </rPr>
      <t xml:space="preserve"> opportunity costs. </t>
    </r>
  </si>
  <si>
    <r>
      <t>Pruning &amp; Training</t>
    </r>
    <r>
      <rPr>
        <vertAlign val="superscript"/>
        <sz val="11"/>
        <rFont val="Times New Roman"/>
        <family val="1"/>
      </rPr>
      <t>C</t>
    </r>
  </si>
  <si>
    <r>
      <t>General Farm Labor</t>
    </r>
    <r>
      <rPr>
        <vertAlign val="superscript"/>
        <sz val="11"/>
        <rFont val="Times New Roman"/>
        <family val="1"/>
      </rPr>
      <t>H</t>
    </r>
  </si>
  <si>
    <t>Years 6 to 20 (Full Production, Annual Average)</t>
  </si>
  <si>
    <t>Variables</t>
  </si>
  <si>
    <t>Block Specification</t>
  </si>
  <si>
    <t>Return or Cost</t>
  </si>
  <si>
    <t>Description or Activity</t>
  </si>
  <si>
    <t>Price</t>
  </si>
  <si>
    <t xml:space="preserve">Return  </t>
  </si>
  <si>
    <t>Variable cost</t>
  </si>
  <si>
    <t xml:space="preserve">Sum of all variable costs  </t>
  </si>
  <si>
    <t>Return</t>
  </si>
  <si>
    <t>Returns over Variable Costs</t>
  </si>
  <si>
    <t>Fixed cash cost</t>
  </si>
  <si>
    <t>Sum of fixed cash costs</t>
  </si>
  <si>
    <t>Sum of all variable costs and fixed cash costs</t>
  </si>
  <si>
    <t>Other fixed cost</t>
  </si>
  <si>
    <t>Sum of depreciation, interest and other fixed costs</t>
  </si>
  <si>
    <t>Sum of fixed cash and non-cash costs</t>
  </si>
  <si>
    <t>Sum of all costs</t>
  </si>
  <si>
    <t>TOTAL PRODUCTION COSTS</t>
  </si>
  <si>
    <t>Total returns minus total production costs</t>
  </si>
  <si>
    <t>Establishment cost</t>
  </si>
  <si>
    <t>Levels of Enterprise Costs</t>
  </si>
  <si>
    <t>Requirements and Receipts</t>
  </si>
  <si>
    <t>Requirements</t>
  </si>
  <si>
    <t xml:space="preserve">Capital Requirements </t>
  </si>
  <si>
    <r>
      <t>Land includes water rights</t>
    </r>
    <r>
      <rPr>
        <vertAlign val="superscript"/>
        <sz val="11"/>
        <rFont val="Times New Roman"/>
        <family val="1"/>
      </rPr>
      <t>A</t>
    </r>
  </si>
  <si>
    <t>Soil Preparation: fumigation (custom)</t>
  </si>
  <si>
    <t>Soil Preparation: rip and disk ground (custom)</t>
  </si>
  <si>
    <t>Soil Preparation: fertilizer (materials, tractor and labor)</t>
  </si>
  <si>
    <t>Trees: full sized trees (5/8" or better)</t>
  </si>
  <si>
    <t>Irrigation: laterals, sprinklers, sub-lines</t>
  </si>
  <si>
    <t>Irrigation: installation labor</t>
  </si>
  <si>
    <t xml:space="preserve">Year  </t>
  </si>
  <si>
    <t>Machine/Equipment/Building (from Appendix Table 2)</t>
  </si>
  <si>
    <r>
      <t>Purchase Price (from Appendix Table 2)</t>
    </r>
    <r>
      <rPr>
        <b/>
        <vertAlign val="superscript"/>
        <sz val="11"/>
        <color indexed="8"/>
        <rFont val="Times New Roman"/>
        <family val="1"/>
      </rPr>
      <t>D</t>
    </r>
  </si>
  <si>
    <r>
      <t>Salvage Value As % of Current Mkt Value</t>
    </r>
    <r>
      <rPr>
        <b/>
        <vertAlign val="superscript"/>
        <sz val="11"/>
        <rFont val="Times New Roman"/>
        <family val="1"/>
      </rPr>
      <t>E</t>
    </r>
  </si>
  <si>
    <t>-</t>
  </si>
  <si>
    <t>Variable</t>
  </si>
  <si>
    <t>Value</t>
  </si>
  <si>
    <t>Block Size</t>
  </si>
  <si>
    <t>12 acres</t>
  </si>
  <si>
    <t>11 acres</t>
  </si>
  <si>
    <t>2-leader non-formal V</t>
  </si>
  <si>
    <t>6 feet</t>
  </si>
  <si>
    <t>14 feet</t>
  </si>
  <si>
    <t>G-12</t>
  </si>
  <si>
    <t>519 trees per acre</t>
  </si>
  <si>
    <t>25 years</t>
  </si>
  <si>
    <t>FOB packinghouse door price ($/lb), large</t>
  </si>
  <si>
    <t>Medium: 9.5 to 10.5-row</t>
  </si>
  <si>
    <t>FOB packinghouse door price ($/lb), medium</t>
  </si>
  <si>
    <t>FOB packinghouse door price ($/lb), small</t>
  </si>
  <si>
    <t>FOB packinghouse door price ($/lb), cull</t>
  </si>
  <si>
    <t>The total value of bare agricultural land (including senior water rights) is $18,000 per acre with annual property taxes of $120 per acre.</t>
  </si>
  <si>
    <t>2 passes at $150/acre per pass</t>
  </si>
  <si>
    <t>Fertilizer - material cost before planting</t>
  </si>
  <si>
    <t>Soil Preparation: tree removal (custom)</t>
  </si>
  <si>
    <t>Planting (custom)</t>
  </si>
  <si>
    <t>Already existing in the orchard</t>
  </si>
  <si>
    <t>Installation labor, hours</t>
  </si>
  <si>
    <t>Installation labor, cost per hour</t>
  </si>
  <si>
    <t>Hours of blossom thinning labor</t>
  </si>
  <si>
    <t>Hours of green fruit thinning</t>
  </si>
  <si>
    <t>Includes payment for the mechanic</t>
  </si>
  <si>
    <t>Cost of picking labor, manual, per lb</t>
  </si>
  <si>
    <t>Cost of checking, tractor drivers and supervisors, manual, per lb</t>
  </si>
  <si>
    <t>Cost of hauling, per lb</t>
  </si>
  <si>
    <t>Total packing charges per lb</t>
  </si>
  <si>
    <t>Insurance for property (liability insurance)</t>
  </si>
  <si>
    <t>Drying cherries</t>
  </si>
  <si>
    <t>Use helicopter or air blasting</t>
  </si>
  <si>
    <t>Trees: planting (custom)</t>
  </si>
  <si>
    <t>Price per unit = $35,000 plus $5,000 pad and $3,500 autostart; Price includes installation; 1 unit per 10 acres</t>
  </si>
  <si>
    <t>Insurance (farm and property)</t>
  </si>
  <si>
    <t xml:space="preserve">B. These are packinghouse door prices. They reflect the return before any expenses are subtracted. </t>
  </si>
  <si>
    <r>
      <t>Estimated FOB Price ($/lb)</t>
    </r>
    <r>
      <rPr>
        <vertAlign val="superscript"/>
        <sz val="11"/>
        <rFont val="Times New Roman"/>
        <family val="1"/>
      </rPr>
      <t>B</t>
    </r>
    <r>
      <rPr>
        <sz val="11"/>
        <rFont val="Times New Roman"/>
        <family val="1"/>
      </rPr>
      <t>, large</t>
    </r>
  </si>
  <si>
    <r>
      <t>Estimated FOB Price ($/lb)</t>
    </r>
    <r>
      <rPr>
        <vertAlign val="superscript"/>
        <sz val="11"/>
        <rFont val="Times New Roman"/>
        <family val="1"/>
      </rPr>
      <t>B</t>
    </r>
    <r>
      <rPr>
        <sz val="11"/>
        <rFont val="Times New Roman"/>
        <family val="1"/>
      </rPr>
      <t>, medium</t>
    </r>
  </si>
  <si>
    <r>
      <t>Estimated FOB Price ($/lb)</t>
    </r>
    <r>
      <rPr>
        <vertAlign val="superscript"/>
        <sz val="11"/>
        <rFont val="Times New Roman"/>
        <family val="1"/>
      </rPr>
      <t>B</t>
    </r>
    <r>
      <rPr>
        <sz val="11"/>
        <rFont val="Times New Roman"/>
        <family val="1"/>
      </rPr>
      <t>, small</t>
    </r>
  </si>
  <si>
    <r>
      <t>Estimated Net Production (lb/acre)</t>
    </r>
    <r>
      <rPr>
        <vertAlign val="superscript"/>
        <sz val="11"/>
        <rFont val="Times New Roman"/>
        <family val="1"/>
      </rPr>
      <t>A</t>
    </r>
    <r>
      <rPr>
        <sz val="11"/>
        <rFont val="Times New Roman"/>
        <family val="1"/>
      </rPr>
      <t>, large</t>
    </r>
  </si>
  <si>
    <r>
      <t>Estimated Net Production (lb/acre)</t>
    </r>
    <r>
      <rPr>
        <vertAlign val="superscript"/>
        <sz val="11"/>
        <rFont val="Times New Roman"/>
        <family val="1"/>
      </rPr>
      <t>A</t>
    </r>
    <r>
      <rPr>
        <sz val="11"/>
        <rFont val="Times New Roman"/>
        <family val="1"/>
      </rPr>
      <t>, medium</t>
    </r>
  </si>
  <si>
    <r>
      <t>Estimated Net Production (lb/acre)</t>
    </r>
    <r>
      <rPr>
        <vertAlign val="superscript"/>
        <sz val="11"/>
        <rFont val="Times New Roman"/>
        <family val="1"/>
      </rPr>
      <t>A</t>
    </r>
    <r>
      <rPr>
        <sz val="11"/>
        <rFont val="Times New Roman"/>
        <family val="1"/>
      </rPr>
      <t>, small</t>
    </r>
  </si>
  <si>
    <r>
      <t>Estimated FOB Price ($/lb)</t>
    </r>
    <r>
      <rPr>
        <vertAlign val="superscript"/>
        <sz val="11"/>
        <rFont val="Times New Roman"/>
        <family val="1"/>
      </rPr>
      <t>B</t>
    </r>
    <r>
      <rPr>
        <sz val="11"/>
        <rFont val="Times New Roman"/>
        <family val="1"/>
      </rPr>
      <t>, cull</t>
    </r>
  </si>
  <si>
    <t xml:space="preserve">Management salary is valued at $700 per acre. </t>
  </si>
  <si>
    <t xml:space="preserve">All chemicals (fungicide, fireblight prevention, disease prevention, insecticide, herbicide). </t>
  </si>
  <si>
    <t>Chemical and fertilizer application, irrigation labor</t>
  </si>
  <si>
    <t>C. Hand labor rate is $21.63/hour and includes all applicable taxes and benefits.</t>
  </si>
  <si>
    <t>Cultural practices and harvest activities are done by using a combination of manual labor, ladders and labor-enhancing equipment. The hourly manual labor rate is $21.63/hour, calculated using the minimum wage for 2026 of $17.13/hour, plus H2A fixed cost of $4.50/hour. For chemical and fertilizer application, irrigation and frost protection, labor rate is $22.63/hour, a dollar more than manual labor rate. These labor rates are assumed the same for all years of production.</t>
  </si>
  <si>
    <t>Netting, material</t>
  </si>
  <si>
    <t>Deployment and roll back, labor</t>
  </si>
  <si>
    <t>Wind Machine (cost of unit per acre) installed in Year 4</t>
  </si>
  <si>
    <r>
      <t>Netting</t>
    </r>
    <r>
      <rPr>
        <vertAlign val="superscript"/>
        <sz val="11"/>
        <rFont val="Times New Roman"/>
        <family val="1"/>
      </rPr>
      <t>C</t>
    </r>
  </si>
  <si>
    <t>Netting (deploy and pull back), labor</t>
  </si>
  <si>
    <t>Netting (deploy and pull back)</t>
  </si>
  <si>
    <t xml:space="preserve">Netting </t>
  </si>
  <si>
    <r>
      <t>Thinning</t>
    </r>
    <r>
      <rPr>
        <vertAlign val="superscript"/>
        <sz val="11"/>
        <rFont val="Times New Roman"/>
        <family val="1"/>
      </rPr>
      <t>C</t>
    </r>
  </si>
  <si>
    <t>D. Includes materials and labor.</t>
  </si>
  <si>
    <r>
      <t>Chemicals</t>
    </r>
    <r>
      <rPr>
        <vertAlign val="superscript"/>
        <sz val="11"/>
        <rFont val="Times New Roman"/>
        <family val="1"/>
      </rPr>
      <t>D,E</t>
    </r>
  </si>
  <si>
    <r>
      <t>Fertilizer</t>
    </r>
    <r>
      <rPr>
        <vertAlign val="superscript"/>
        <sz val="11"/>
        <rFont val="Times New Roman"/>
        <family val="1"/>
      </rPr>
      <t>D,E</t>
    </r>
  </si>
  <si>
    <t xml:space="preserve">E. Tractor/machinery labor for chemical application, fertilizer application and irrigation is $22.63 per hour, including all applicable taxes and benefits. </t>
  </si>
  <si>
    <r>
      <t>Irrigation Labor</t>
    </r>
    <r>
      <rPr>
        <vertAlign val="superscript"/>
        <sz val="11"/>
        <rFont val="Times New Roman"/>
        <family val="1"/>
      </rPr>
      <t>E</t>
    </r>
  </si>
  <si>
    <r>
      <t>Netting Labor</t>
    </r>
    <r>
      <rPr>
        <vertAlign val="superscript"/>
        <sz val="11"/>
        <rFont val="Times New Roman"/>
        <family val="1"/>
      </rPr>
      <t>F</t>
    </r>
  </si>
  <si>
    <t>F. Labor cost to deploy and pull back.</t>
  </si>
  <si>
    <r>
      <t>General Farm Labor</t>
    </r>
    <r>
      <rPr>
        <vertAlign val="superscript"/>
        <sz val="11"/>
        <rFont val="Times New Roman"/>
        <family val="1"/>
      </rPr>
      <t>G</t>
    </r>
  </si>
  <si>
    <t>G. General farm labor rate is a lump sum per acre and applied to miscellaneous/all other labor. Rate includes applicable taxes and benefits.</t>
  </si>
  <si>
    <r>
      <t>Picking Labor</t>
    </r>
    <r>
      <rPr>
        <vertAlign val="superscript"/>
        <sz val="11"/>
        <rFont val="Times New Roman"/>
        <family val="1"/>
      </rPr>
      <t>H</t>
    </r>
  </si>
  <si>
    <r>
      <t>Other Labor (checkers, tractor drivers, supervisors)</t>
    </r>
    <r>
      <rPr>
        <vertAlign val="superscript"/>
        <sz val="11"/>
        <rFont val="Times New Roman"/>
        <family val="1"/>
      </rPr>
      <t>H</t>
    </r>
  </si>
  <si>
    <t>Warehouse Packing Charges</t>
  </si>
  <si>
    <r>
      <t>Overhead (5% of Variable Costs)</t>
    </r>
    <r>
      <rPr>
        <vertAlign val="superscript"/>
        <sz val="11"/>
        <rFont val="Times New Roman"/>
        <family val="1"/>
      </rPr>
      <t>I</t>
    </r>
  </si>
  <si>
    <r>
      <t>Interest (5% of Variable Costs)</t>
    </r>
    <r>
      <rPr>
        <vertAlign val="superscript"/>
        <sz val="11"/>
        <rFont val="Times New Roman"/>
        <family val="1"/>
      </rPr>
      <t>J</t>
    </r>
  </si>
  <si>
    <t>I. Captures indirect costs of operations in the orchard that fluctuate with the level of production but are not accounted by the variable costs already identified. Also captures unforeseeable expenses.</t>
  </si>
  <si>
    <t>J. Interest expense on full year during establishment years and for 3/4 of a year during full production.</t>
  </si>
  <si>
    <r>
      <t>Land</t>
    </r>
    <r>
      <rPr>
        <vertAlign val="superscript"/>
        <sz val="11"/>
        <rFont val="Times New Roman"/>
        <family val="1"/>
      </rPr>
      <t>K</t>
    </r>
  </si>
  <si>
    <r>
      <t>Amortized Establishment Costs</t>
    </r>
    <r>
      <rPr>
        <vertAlign val="superscript"/>
        <sz val="11"/>
        <rFont val="Times New Roman"/>
        <family val="1"/>
      </rPr>
      <t>L</t>
    </r>
  </si>
  <si>
    <t>L. Represents the costs incurred during the establishment years (minus revenues during those years) that must be recaptured during the full production years. It is calculated as: accumulated establishment costs in Year 5 amortized at 5% for 20 years.</t>
  </si>
  <si>
    <t>K. Land cost is approximated by using the 5% interest rate multiplied by the land value of $18,000 per acre.</t>
  </si>
  <si>
    <t>Years 6 to 25 (Full Production, Annual Average)</t>
  </si>
  <si>
    <t>C. Hand labor rate is $21.63/hour and includes applicable taxes and benefits. Applied to pruning, training, thinning and weed control.</t>
  </si>
  <si>
    <r>
      <t>Thinning (labor)</t>
    </r>
    <r>
      <rPr>
        <vertAlign val="superscript"/>
        <sz val="11"/>
        <rFont val="Times New Roman"/>
        <family val="1"/>
      </rPr>
      <t>C</t>
    </r>
  </si>
  <si>
    <t>Chemicals, materials</t>
  </si>
  <si>
    <t>D. Tractor/machinery or higher skilled labor rate is $22.63/hour and includes applicable taxes and benefits. This rate is applied to chemical application, fertilizer application (after soil preparation) and irrigation.</t>
  </si>
  <si>
    <r>
      <t>Chemicals, labor</t>
    </r>
    <r>
      <rPr>
        <vertAlign val="superscript"/>
        <sz val="11"/>
        <rFont val="Times New Roman"/>
        <family val="1"/>
      </rPr>
      <t>D</t>
    </r>
  </si>
  <si>
    <t>E. Includes all types of fertilizer used.</t>
  </si>
  <si>
    <r>
      <t>Fertilizer</t>
    </r>
    <r>
      <rPr>
        <vertAlign val="superscript"/>
        <sz val="11"/>
        <rFont val="Times New Roman"/>
        <family val="1"/>
      </rPr>
      <t>E</t>
    </r>
    <r>
      <rPr>
        <sz val="11"/>
        <rFont val="Times New Roman"/>
        <family val="1"/>
      </rPr>
      <t>, materials</t>
    </r>
  </si>
  <si>
    <r>
      <t>Fertilizer, labor</t>
    </r>
    <r>
      <rPr>
        <vertAlign val="superscript"/>
        <sz val="11"/>
        <rFont val="Times New Roman"/>
        <family val="1"/>
      </rPr>
      <t>D</t>
    </r>
  </si>
  <si>
    <r>
      <t>Irrigation Labor</t>
    </r>
    <r>
      <rPr>
        <vertAlign val="superscript"/>
        <sz val="11"/>
        <rFont val="Times New Roman"/>
        <family val="1"/>
      </rPr>
      <t>D</t>
    </r>
  </si>
  <si>
    <t>F. Includes maintenance and repairs of mainline, pump and pond; irrigation system; trellis system; wind machine and alarm system and machinery.</t>
  </si>
  <si>
    <r>
      <t>Maintenance &amp; Repair</t>
    </r>
    <r>
      <rPr>
        <vertAlign val="superscript"/>
        <sz val="11"/>
        <rFont val="Times New Roman"/>
        <family val="1"/>
      </rPr>
      <t>F</t>
    </r>
  </si>
  <si>
    <r>
      <t>Fuel &amp; Lube</t>
    </r>
    <r>
      <rPr>
        <vertAlign val="superscript"/>
        <sz val="11"/>
        <rFont val="Times New Roman"/>
        <family val="1"/>
      </rPr>
      <t>G</t>
    </r>
  </si>
  <si>
    <t>H.  Refers to miscellaneous or all other labor (lump sum). Rate includes applicable taxes and benefits.</t>
  </si>
  <si>
    <t>Insurance Cost (farm and property)</t>
  </si>
  <si>
    <r>
      <t>Insurance (farm and property)</t>
    </r>
    <r>
      <rPr>
        <vertAlign val="superscript"/>
        <sz val="11"/>
        <rFont val="Times New Roman"/>
        <family val="1"/>
      </rPr>
      <t>I</t>
    </r>
  </si>
  <si>
    <r>
      <t>Wind Machine (unit and installation labor)</t>
    </r>
    <r>
      <rPr>
        <vertAlign val="superscript"/>
        <sz val="11"/>
        <rFont val="Times New Roman"/>
        <family val="1"/>
      </rPr>
      <t>K</t>
    </r>
  </si>
  <si>
    <r>
      <t>Thinning (labor)</t>
    </r>
    <r>
      <rPr>
        <vertAlign val="superscript"/>
        <sz val="11"/>
        <rFont val="Times New Roman"/>
        <family val="1"/>
      </rPr>
      <t>A</t>
    </r>
  </si>
  <si>
    <t>A. Hand labor rate is $21.63/hour and includes applicable taxes and benefits. Applied to pruning, training, thinning and weed control.</t>
  </si>
  <si>
    <r>
      <t>Chemicals, labor</t>
    </r>
    <r>
      <rPr>
        <vertAlign val="superscript"/>
        <sz val="11"/>
        <rFont val="Times New Roman"/>
        <family val="1"/>
      </rPr>
      <t>B</t>
    </r>
  </si>
  <si>
    <t>B. Tractor/machinery or higher skilled labor rate is $22.63/hour and includes applicable taxes and benefits. This rate is applied to chemical application, fertilizer application (after soil preparation) and irrigation.</t>
  </si>
  <si>
    <t>C. Includes all types of fertilizer used.</t>
  </si>
  <si>
    <r>
      <t>Fertilizer</t>
    </r>
    <r>
      <rPr>
        <vertAlign val="superscript"/>
        <sz val="11"/>
        <rFont val="Times New Roman"/>
        <family val="1"/>
      </rPr>
      <t>C</t>
    </r>
    <r>
      <rPr>
        <sz val="11"/>
        <rFont val="Times New Roman"/>
        <family val="1"/>
      </rPr>
      <t>, materials</t>
    </r>
  </si>
  <si>
    <r>
      <t>Fertilizer, labor</t>
    </r>
    <r>
      <rPr>
        <vertAlign val="superscript"/>
        <sz val="11"/>
        <rFont val="Times New Roman"/>
        <family val="1"/>
      </rPr>
      <t>B</t>
    </r>
  </si>
  <si>
    <r>
      <t>Irrigation Labor</t>
    </r>
    <r>
      <rPr>
        <vertAlign val="superscript"/>
        <sz val="11"/>
        <rFont val="Times New Roman"/>
        <family val="1"/>
      </rPr>
      <t>B</t>
    </r>
  </si>
  <si>
    <t>D. Includes maintenance and repairs of mainline, pump and pond; irrigation system; trellis system; wind machine and alarm system and machinery.</t>
  </si>
  <si>
    <r>
      <t>Maintenance &amp; Repair</t>
    </r>
    <r>
      <rPr>
        <vertAlign val="superscript"/>
        <sz val="11"/>
        <rFont val="Times New Roman"/>
        <family val="1"/>
      </rPr>
      <t>D</t>
    </r>
  </si>
  <si>
    <t>E. Fuel and Lube cost includes propane cost for wind machine.</t>
  </si>
  <si>
    <r>
      <t>Fuel &amp; Lube</t>
    </r>
    <r>
      <rPr>
        <vertAlign val="superscript"/>
        <sz val="11"/>
        <rFont val="Times New Roman"/>
        <family val="1"/>
      </rPr>
      <t>E</t>
    </r>
  </si>
  <si>
    <r>
      <t>General Farm Labor</t>
    </r>
    <r>
      <rPr>
        <vertAlign val="superscript"/>
        <sz val="11"/>
        <rFont val="Times New Roman"/>
        <family val="1"/>
      </rPr>
      <t>F</t>
    </r>
  </si>
  <si>
    <t>F. Refers to miscellaneous or all other labor (lump sum). Rate includes applicable taxes and benefits.</t>
  </si>
  <si>
    <t>G. Includes management salary, cellphone, gas, etc.</t>
  </si>
  <si>
    <r>
      <t>Management Overhead</t>
    </r>
    <r>
      <rPr>
        <vertAlign val="superscript"/>
        <sz val="11"/>
        <rFont val="Times New Roman"/>
        <family val="1"/>
      </rPr>
      <t>G</t>
    </r>
  </si>
  <si>
    <r>
      <t>Reflective Cover Labor</t>
    </r>
    <r>
      <rPr>
        <vertAlign val="superscript"/>
        <sz val="11"/>
        <rFont val="Times New Roman"/>
        <family val="1"/>
      </rPr>
      <t>F</t>
    </r>
  </si>
  <si>
    <t xml:space="preserve">Reflective Cover  </t>
  </si>
  <si>
    <t>Reflective Cover</t>
  </si>
  <si>
    <r>
      <t>Reflective Cover</t>
    </r>
    <r>
      <rPr>
        <vertAlign val="superscript"/>
        <sz val="11"/>
        <rFont val="Times New Roman"/>
        <family val="1"/>
      </rPr>
      <t>C</t>
    </r>
  </si>
  <si>
    <t>Reflective Cover, material</t>
  </si>
  <si>
    <t>Reflective Cover, labor</t>
  </si>
  <si>
    <t>Reflective cover, material</t>
  </si>
  <si>
    <t>Culls</t>
  </si>
  <si>
    <r>
      <t>Total Cash Costs</t>
    </r>
    <r>
      <rPr>
        <vertAlign val="superscript"/>
        <sz val="11"/>
        <rFont val="Times New Roman"/>
        <family val="1"/>
      </rPr>
      <t>C</t>
    </r>
  </si>
  <si>
    <t>Total Cash Costs + Depreciation Costs</t>
  </si>
  <si>
    <r>
      <t>Total Cost</t>
    </r>
    <r>
      <rPr>
        <vertAlign val="superscript"/>
        <sz val="11"/>
        <rFont val="Times New Roman"/>
        <family val="1"/>
      </rPr>
      <t>F</t>
    </r>
  </si>
  <si>
    <r>
      <t>Break-even Return</t>
    </r>
    <r>
      <rPr>
        <b/>
        <vertAlign val="superscript"/>
        <sz val="11"/>
        <rFont val="Times New Roman"/>
        <family val="1"/>
      </rPr>
      <t>A</t>
    </r>
    <r>
      <rPr>
        <b/>
        <sz val="11"/>
        <rFont val="Times New Roman"/>
        <family val="1"/>
      </rPr>
      <t xml:space="preserve"> by Grade ($ per lb)</t>
    </r>
  </si>
  <si>
    <t xml:space="preserve">B. If the return is below this level, sweet cherries are uneconomical to produce. </t>
  </si>
  <si>
    <t>Proportional Cost by Size ($/acre)</t>
  </si>
  <si>
    <t>FOB price ($/lb), large</t>
  </si>
  <si>
    <t>FOB price ($/lb), medium</t>
  </si>
  <si>
    <t>FOB price ($/lb), small</t>
  </si>
  <si>
    <t>FOB price ($/lb), cull</t>
  </si>
  <si>
    <t>Picking labor cost ($/lb)</t>
  </si>
  <si>
    <t>Hauling cost ($/lb)</t>
  </si>
  <si>
    <t>Interest rate (%)</t>
  </si>
  <si>
    <t>Overhead (%)</t>
  </si>
  <si>
    <t>Packing charges ($/lb)</t>
  </si>
  <si>
    <r>
      <t>Other harvest labor cost ($/lb)</t>
    </r>
    <r>
      <rPr>
        <vertAlign val="superscript"/>
        <sz val="11"/>
        <color rgb="FF000000"/>
        <rFont val="Times New Roman"/>
        <family val="1"/>
      </rPr>
      <t>‡</t>
    </r>
  </si>
  <si>
    <r>
      <rPr>
        <sz val="10"/>
        <color rgb="FF000000"/>
        <rFont val="Times New Roman"/>
        <family val="1"/>
      </rPr>
      <t>‡</t>
    </r>
    <r>
      <rPr>
        <vertAlign val="superscript"/>
        <sz val="10"/>
        <color rgb="FF000000"/>
        <rFont val="Times New Roman"/>
        <family val="1"/>
      </rPr>
      <t xml:space="preserve"> </t>
    </r>
    <r>
      <rPr>
        <sz val="10"/>
        <color indexed="8"/>
        <rFont val="Times New Roman"/>
        <family val="1"/>
      </rPr>
      <t>Refers to checking, tractor drivers and supervisors.</t>
    </r>
  </si>
  <si>
    <t>† Important note: When changing the percentages of size distribution, they must sum up to 100%.</t>
  </si>
  <si>
    <t xml:space="preserve">Large </t>
  </si>
  <si>
    <t>Medium</t>
  </si>
  <si>
    <t xml:space="preserve">Small </t>
  </si>
  <si>
    <t>Sweet Cherry Size</t>
  </si>
  <si>
    <t>Steps</t>
  </si>
  <si>
    <t>Instruction</t>
  </si>
  <si>
    <t xml:space="preserve">Item </t>
  </si>
  <si>
    <t>Assumption</t>
  </si>
  <si>
    <t xml:space="preserve">*This table shows breakeven returns for different levels of total enterprise cost. </t>
  </si>
  <si>
    <t>For each cost level, there are four breakeven returns—one for each sweet cherry size—and they should be viewed as a group that occurs together.</t>
  </si>
  <si>
    <t>The enterprise breaks even only when all four returns are achieved at the same time. The breakeven returns are calculated by sharing total costs</t>
  </si>
  <si>
    <t xml:space="preserve">C. The irrigation system, reflective cover, netting, mainline and pump, pond, trellis system and wind machine are used for the direct production of  the fruit. </t>
  </si>
  <si>
    <t>Hence, their respective interest costs are divided by the production area (11 acres) to get the interest cost per acre.</t>
  </si>
  <si>
    <t>D. Total area of the farm operation is 300 acres and the machinery, equipment, and building are used in the entire, diverse cultivar farm.</t>
  </si>
  <si>
    <t>Thus, the corresponding interest costs are divided by the total area (300 acres) to derive the interest cost per acre.</t>
  </si>
  <si>
    <t>G. Fuel and lube cost includes propane cost for wind machine starting Year 4.</t>
  </si>
  <si>
    <r>
      <t xml:space="preserve">F. </t>
    </r>
    <r>
      <rPr>
        <i/>
        <sz val="10"/>
        <rFont val="Times New Roman"/>
        <family val="1"/>
      </rPr>
      <t>Salvage Value</t>
    </r>
    <r>
      <rPr>
        <sz val="10"/>
        <rFont val="Times New Roman"/>
        <family val="1"/>
      </rPr>
      <t xml:space="preserve"> refers to the estimated value of an asset at the end of its useful life. In general, a salvage value will be a positive value. </t>
    </r>
  </si>
  <si>
    <t>However, it may be zero if the asset will be used until it is completely worn out and will have no scrap value at the end of its useful life.</t>
  </si>
  <si>
    <t>Base = $17.13/hour, plus H2A fixed cost = $4.50/hour.</t>
  </si>
  <si>
    <t>Additional $1/hour to base rate of manual labor, plus H2A fixed cost.</t>
  </si>
  <si>
    <t>Harvest</t>
  </si>
  <si>
    <t xml:space="preserve">Harvest </t>
  </si>
  <si>
    <t>Pruning and Training</t>
  </si>
  <si>
    <t>Irrigation Installation</t>
  </si>
  <si>
    <t xml:space="preserve">FOB Price </t>
  </si>
  <si>
    <t>Soil Prep</t>
  </si>
  <si>
    <t>Labor Rate</t>
  </si>
  <si>
    <t>Piece rate is higher when trees are younger (i.e., not many fruits on the trees) compared to mature trees.</t>
  </si>
  <si>
    <t>across cherry sizes based on their contribution to total returns: about 21% for Large cherries, 48% for Medium, 30% for Small, and 1% for Cull.</t>
  </si>
  <si>
    <t>Summer Pruning</t>
  </si>
  <si>
    <t>Hours of summer pruning</t>
  </si>
  <si>
    <t xml:space="preserve">K. Wind machine is installed in Year 4. One unit is required per 10 acres. </t>
  </si>
  <si>
    <t>Land (12 acres)</t>
  </si>
  <si>
    <t>Harvest Costs (per lb): picking (multiple picks)</t>
  </si>
  <si>
    <t>Harvest Costs (per lb): checkers, tractor drivers and supervisors</t>
  </si>
  <si>
    <t>Harvest Costs (per lb): hauling</t>
  </si>
  <si>
    <t>Packing Costs (per lb)</t>
  </si>
  <si>
    <r>
      <t>Hauling Sweet Cherries</t>
    </r>
    <r>
      <rPr>
        <vertAlign val="superscript"/>
        <sz val="11"/>
        <rFont val="Times New Roman"/>
        <family val="1"/>
      </rPr>
      <t>H</t>
    </r>
  </si>
  <si>
    <t>The costs of fixed capital are allocated on the entire farm operation.</t>
  </si>
  <si>
    <r>
      <t>Machine Shop/Shed</t>
    </r>
    <r>
      <rPr>
        <vertAlign val="superscript"/>
        <sz val="11"/>
        <color rgb="FFB34700"/>
        <rFont val="Times New Roman"/>
        <family val="1"/>
      </rPr>
      <t>B</t>
    </r>
  </si>
  <si>
    <r>
      <t>Miscellaneous Equipment</t>
    </r>
    <r>
      <rPr>
        <vertAlign val="superscript"/>
        <sz val="11"/>
        <color rgb="FFB34700"/>
        <rFont val="Times New Roman"/>
        <family val="1"/>
      </rPr>
      <t>C</t>
    </r>
  </si>
  <si>
    <r>
      <t>Shop Equipment</t>
    </r>
    <r>
      <rPr>
        <vertAlign val="superscript"/>
        <sz val="11"/>
        <color rgb="FFB34700"/>
        <rFont val="Times New Roman"/>
        <family val="1"/>
      </rPr>
      <t>D</t>
    </r>
  </si>
  <si>
    <t>Mainline &amp; pump are already existing in the orchard.</t>
  </si>
  <si>
    <r>
      <t xml:space="preserve">Values in </t>
    </r>
    <r>
      <rPr>
        <sz val="11"/>
        <color rgb="FFB34700"/>
        <rFont val="Times New Roman"/>
        <family val="1"/>
      </rPr>
      <t>orange</t>
    </r>
    <r>
      <rPr>
        <sz val="11"/>
        <color indexed="8"/>
        <rFont val="Times New Roman"/>
        <family val="1"/>
      </rPr>
      <t xml:space="preserve"> are provided by growers who participated in the development of this budget. These values can be changed.  </t>
    </r>
  </si>
  <si>
    <r>
      <t>2026 Cost and Return Estimates of Establishing, Producing and Packing Early-Season Mahogany Sweet Cherries</t>
    </r>
    <r>
      <rPr>
        <b/>
        <vertAlign val="superscript"/>
        <sz val="14"/>
        <color theme="1"/>
        <rFont val="Times New Roman"/>
        <family val="1"/>
      </rPr>
      <t xml:space="preserve"> </t>
    </r>
    <r>
      <rPr>
        <b/>
        <sz val="14"/>
        <color theme="1"/>
        <rFont val="Times New Roman"/>
        <family val="1"/>
      </rPr>
      <t>in Washington</t>
    </r>
  </si>
  <si>
    <t>The main data source for the calculations is Appendix 5 (Data for tables). Changing the orange-colored values in Appendix Table 9, as well as in other worksheets (Mach Etc Req., Interest, Depreciation, Salv Value &amp; Dep Calc, and Amort Calc) will automatically change the values in the remaining worksheets, including the summary table, "Early-Season Mahogany Budget".</t>
  </si>
  <si>
    <t>Table 2. Cost and returns per acre of establishing, producing and packing early-season mahogany sweet cherries in a 12-acre orchard block.</t>
  </si>
  <si>
    <t xml:space="preserve">Machinery, equipment, and building requirements are utilized in growing diverse crops in the 300-acre farm, which include early-season mahogany sweet cherries. </t>
  </si>
  <si>
    <t>Considering the value of land where there had been fruit trees. The trees are removed to plant the early-season mahogany sweet cherry block.</t>
  </si>
  <si>
    <t>The 48-acre orchard is divided into four equal 12-acre blocks: three planted with mahogany sweet cherries scheduled for early, mid, and late harvest windows, and one planted with yellow sweet cherries. In each block, 1 acre is allocated to infrastructure (roads, pond, loading area, and buildings), resulting in 11 bearing acres per block.</t>
  </si>
  <si>
    <r>
      <rPr>
        <b/>
        <sz val="11"/>
        <rFont val="Times New Roman"/>
        <family val="1"/>
      </rPr>
      <t>The analysis relies primarily on input cost centers representative of the 2025 production year, with labor rates updated to reflect prevailing conditions as of 2026</t>
    </r>
    <r>
      <rPr>
        <sz val="11"/>
        <rFont val="Times New Roman"/>
        <family val="1"/>
      </rPr>
      <t>. To avoid unwarranted conclusions for any particular operation, closely examine the assumptions used. If they are not appropriate for your situation, adjust the costs and/or returns as appropriate.</t>
    </r>
  </si>
  <si>
    <t xml:space="preserve">F. Total cost includes interest costs, which consist of both interest on owned capital and actual cash interest payments on borrowed funds. </t>
  </si>
  <si>
    <t>Table 1. Early-season dark mahogany sweet cherry block specifications.</t>
  </si>
  <si>
    <t>Free-on-board (FOB) prices are defined as the prices at the packinghouse door. FOB prices vary by fruit size: $3.14/lb for large size cherries; $2.55/lb for medium size; $1.52/lb for small size; $0.04/lb for cull.</t>
  </si>
  <si>
    <t>Early-season mahogany sweet cherries are defined as fruit harvested on or before June 18. Large fruit correspond to 9-row and larger, medium fruit range from 9.5 to 10.5-row, and small fruit are 11-row and smaller.</t>
  </si>
  <si>
    <t>Large: 9-row or larger</t>
  </si>
  <si>
    <t>Small: 11-row and smaller</t>
  </si>
  <si>
    <t>Gross production refers to total harvested production (18,000 lb per acre) prior to sorting. Net production reflects marketable production after pack-out, where pack-out denotes the removal of cull fruit (22%) arising from pre-harvest, harvest or storage losses. The remaining 78% of gross production is allocated across large, medium, and small size categories.</t>
  </si>
  <si>
    <t>Production</t>
  </si>
  <si>
    <t>Cull</t>
  </si>
  <si>
    <r>
      <t>Estimated Culls (lb/acre)</t>
    </r>
    <r>
      <rPr>
        <vertAlign val="superscript"/>
        <sz val="11"/>
        <rFont val="Times New Roman"/>
        <family val="1"/>
      </rPr>
      <t>A</t>
    </r>
  </si>
  <si>
    <t>Gross production</t>
  </si>
  <si>
    <t>Size distribution: Large, % of gross production†</t>
  </si>
  <si>
    <t>Size distribution: Medium, % of gross production†</t>
  </si>
  <si>
    <t>Size distribution: Small, % of gross production†</t>
  </si>
  <si>
    <t>Size distribution:  Cull, % of gross production†</t>
  </si>
  <si>
    <t>These return shares reflect the assumed mix of cherry sizes produced, which is approximately 13% Large, 35% Medium, 30% Small, and 22% Cull of total production.</t>
  </si>
  <si>
    <t xml:space="preserve">A. The breakeven return per size is obtained as follows: proportional cost divided by the production of each cherry size. </t>
  </si>
  <si>
    <t xml:space="preserve">A. Estimated net production considers the respective portions of gross production that are classified as large, medium, small and cull. </t>
  </si>
  <si>
    <t>I. Includes different types of insurance: production, revenue, and property liability.</t>
  </si>
  <si>
    <t>Crop production</t>
  </si>
  <si>
    <t>Size distribution: Percent of gross production, large</t>
  </si>
  <si>
    <t>Size distribution: Percent of gross production, medium</t>
  </si>
  <si>
    <t>Size distribution: Percent of gross production, small</t>
  </si>
  <si>
    <t>Insurance for farm (production and revenue)</t>
  </si>
  <si>
    <t>Percent of gross production, cull</t>
  </si>
  <si>
    <t>Table 3. Break-even return* for different levels of enterprise costs during full production of early-season mahogany sweet cherries.</t>
  </si>
  <si>
    <t>Table 4. Values that can be changed to calculate break-even returns.</t>
  </si>
  <si>
    <t>Appendix Table A2. Machinery, equipment, and building requirements for a 300-acre diverse cultivar orchard.</t>
  </si>
  <si>
    <t>Appendix Table A3. Annual interest costs per acre for a 12-acre early-season mahogany sweet cherry block.</t>
  </si>
  <si>
    <t>Appendix Table A4. Annual depreciation costs per acre for a 12-acre early-season mahogany sweet cherry block.</t>
  </si>
  <si>
    <t xml:space="preserve">B. See Appendix Table A7 for calculation of the depreciation cost of the machinery, equipment and building. </t>
  </si>
  <si>
    <t>E. See Appendix Table A7 for a detailed calculation of the salvage value of the machinery, equipment and building.</t>
  </si>
  <si>
    <t>Appendix Table A5. Data on costs during establishment years for a 12-acre early-season mahogany sweet cherry block.</t>
  </si>
  <si>
    <t>Appendix Table A6. Data on costs during a full production year for a 12-acre early-season mahogany sweet cherry block.</t>
  </si>
  <si>
    <t>Appendix Table A7. Estimation of salvage value and annual depreciation cost of fixed capital.</t>
  </si>
  <si>
    <t>Appendix Table A8. Amortization calculator.</t>
  </si>
  <si>
    <t>Appendix Table A9. Assumptions for establishing, producing, and packing early-season mahogany sweet cherries (per acre basis).</t>
  </si>
  <si>
    <t>H. Picking rate = $0.30/lb in Year 4, $0.27/lb in Year 5, and $0.24/lb in Years 6-25; Checkers &amp; tractor drivers' rate = $0.15/lb; Hauling rate = $0.05/lb (hauling refers to transportation cost from the orchard to the warehouse).</t>
  </si>
  <si>
    <t>it is assumed that warehouse will cover additional transportation expenses -if any- when the orchard is located in remote areas).</t>
  </si>
  <si>
    <r>
      <t>a.</t>
    </r>
    <r>
      <rPr>
        <vertAlign val="superscript"/>
        <sz val="10"/>
        <rFont val="Times New Roman"/>
        <family val="1"/>
      </rPr>
      <t xml:space="preserve"> </t>
    </r>
    <r>
      <rPr>
        <sz val="10"/>
        <rFont val="Times New Roman"/>
        <family val="1"/>
      </rPr>
      <t>The full production year is representative of all the remaining years the orchard is in full production (Year 6 to Year 25).</t>
    </r>
  </si>
  <si>
    <t>b. Operating expenses is the sum of the total variable costs, miscellaneous supplies, land and property taxes, insurance cost, and management cost.</t>
  </si>
  <si>
    <r>
      <t>Operating Expenses</t>
    </r>
    <r>
      <rPr>
        <vertAlign val="superscript"/>
        <sz val="11"/>
        <rFont val="Times New Roman"/>
        <family val="1"/>
      </rPr>
      <t>b</t>
    </r>
  </si>
  <si>
    <r>
      <t>Appendix Table A1. Summary of annual capital requirements for a 12-acre early-season mahogany sweet cherry block</t>
    </r>
    <r>
      <rPr>
        <b/>
        <vertAlign val="superscript"/>
        <sz val="12"/>
        <rFont val="Times New Roman"/>
        <family val="1"/>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</si>
</sst>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00"/>
    <numFmt numFmtId="166" formatCode="&quot;$&quot;#,##0.00"/>
    <numFmt numFmtId="167" formatCode="#,##0;\-\ #,##0\ ;&quot;-&quot;"/>
  </numFmts>
  <fonts count="48" x14ac:knownFonts="1">
    <font>
      <sz val="11"/>
      <color theme="1"/>
      <name val="Calibri"/>
      <family val="2"/>
      <scheme val="minor"/>
    </font>
    <font>
      <sz val="11"/>
      <color indexed="8"/>
      <name val="Calibri"/>
      <family val="2"/>
    </font>
    <font>
      <b/>
      <sz val="14"/>
      <color indexed="8"/>
      <name val="Times New Roman"/>
      <family val="1"/>
    </font>
    <font>
      <vertAlign val="superscript"/>
      <sz val="11"/>
      <color indexed="8"/>
      <name val="Times New Roman"/>
      <family val="1"/>
    </font>
    <font>
      <sz val="10"/>
      <color indexed="8"/>
      <name val="Times New Roman"/>
      <family val="1"/>
    </font>
    <font>
      <b/>
      <sz val="11"/>
      <color indexed="8"/>
      <name val="Times New Roman"/>
      <family val="1"/>
    </font>
    <font>
      <sz val="11"/>
      <color indexed="8"/>
      <name val="Times New Roman"/>
      <family val="1"/>
    </font>
    <font>
      <sz val="11"/>
      <name val="Times New Roman"/>
      <family val="1"/>
    </font>
    <font>
      <b/>
      <sz val="14"/>
      <name val="Times New Roman"/>
      <family val="1"/>
    </font>
    <font>
      <b/>
      <sz val="11"/>
      <name val="Times New Roman"/>
      <family val="1"/>
    </font>
    <font>
      <vertAlign val="superscript"/>
      <sz val="11"/>
      <name val="Times New Roman"/>
      <family val="1"/>
    </font>
    <font>
      <sz val="10"/>
      <name val="Times New Roman"/>
      <family val="1"/>
    </font>
    <font>
      <sz val="11"/>
      <color indexed="53"/>
      <name val="Times New Roman"/>
      <family val="1"/>
    </font>
    <font>
      <sz val="12"/>
      <color indexed="8"/>
      <name val="Times New Roman"/>
      <family val="1"/>
    </font>
    <font>
      <sz val="11"/>
      <color indexed="8"/>
      <name val="Times New Roman"/>
      <family val="1"/>
    </font>
    <font>
      <sz val="11"/>
      <color indexed="10"/>
      <name val="Times New Roman"/>
      <family val="1"/>
    </font>
    <font>
      <sz val="11"/>
      <color indexed="49"/>
      <name val="Times New Roman"/>
      <family val="1"/>
    </font>
    <font>
      <sz val="8"/>
      <name val="Calibri"/>
      <family val="2"/>
    </font>
    <font>
      <sz val="11"/>
      <name val="Calibri"/>
      <family val="2"/>
    </font>
    <font>
      <b/>
      <vertAlign val="superscript"/>
      <sz val="11"/>
      <name val="Times New Roman"/>
      <family val="1"/>
    </font>
    <font>
      <i/>
      <sz val="10"/>
      <name val="Times New Roman"/>
      <family val="1"/>
    </font>
    <font>
      <sz val="11"/>
      <color theme="1"/>
      <name val="Calibri"/>
      <family val="2"/>
      <scheme val="minor"/>
    </font>
    <font>
      <sz val="11"/>
      <color theme="1"/>
      <name val="Times New Roman"/>
      <family val="1"/>
    </font>
    <font>
      <sz val="11"/>
      <color rgb="FFFF0000"/>
      <name val="Times New Roman"/>
      <family val="1"/>
    </font>
    <font>
      <sz val="11"/>
      <color theme="9" tint="-0.249977111117893"/>
      <name val="Times New Roman"/>
      <family val="1"/>
    </font>
    <font>
      <sz val="11"/>
      <color theme="5"/>
      <name val="Times New Roman"/>
      <family val="1"/>
    </font>
    <font>
      <sz val="10"/>
      <color theme="1"/>
      <name val="Times New Roman"/>
      <family val="1"/>
    </font>
    <font>
      <b/>
      <sz val="14"/>
      <color theme="1"/>
      <name val="Times New Roman"/>
      <family val="1"/>
    </font>
    <font>
      <sz val="8"/>
      <name val="Calibri"/>
      <family val="2"/>
      <scheme val="minor"/>
    </font>
    <font>
      <u/>
      <sz val="11"/>
      <color theme="10"/>
      <name val="Calibri"/>
      <family val="2"/>
      <scheme val="minor"/>
    </font>
    <font>
      <u/>
      <sz val="11"/>
      <color theme="11"/>
      <name val="Calibri"/>
      <family val="2"/>
      <scheme val="minor"/>
    </font>
    <font>
      <sz val="12"/>
      <color theme="1"/>
      <name val="Times New Roman"/>
      <family val="1"/>
    </font>
    <font>
      <vertAlign val="superscript"/>
      <sz val="10"/>
      <name val="Times New Roman"/>
      <family val="1"/>
    </font>
    <font>
      <sz val="11"/>
      <color rgb="FFC00000"/>
      <name val="Times New Roman"/>
      <family val="1"/>
    </font>
    <font>
      <sz val="10"/>
      <color indexed="53"/>
      <name val="Times New Roman"/>
      <family val="1"/>
    </font>
    <font>
      <b/>
      <vertAlign val="superscript"/>
      <sz val="11"/>
      <color indexed="8"/>
      <name val="Times New Roman"/>
      <family val="1"/>
    </font>
    <font>
      <b/>
      <sz val="11"/>
      <color theme="1"/>
      <name val="Times New Roman"/>
      <family val="1"/>
    </font>
    <font>
      <b/>
      <vertAlign val="superscript"/>
      <sz val="11"/>
      <color theme="1"/>
      <name val="Times New Roman"/>
      <family val="1"/>
    </font>
    <font>
      <u/>
      <sz val="10"/>
      <color indexed="8"/>
      <name val="Times New Roman"/>
      <family val="1"/>
    </font>
    <font>
      <b/>
      <vertAlign val="superscript"/>
      <sz val="14"/>
      <color theme="1"/>
      <name val="Times New Roman"/>
      <family val="1"/>
    </font>
    <font>
      <b/>
      <sz val="10"/>
      <color rgb="FF000000"/>
      <name val="Times New Roman"/>
      <family val="1"/>
    </font>
    <font>
      <b/>
      <sz val="11"/>
      <color rgb="FFC00000"/>
      <name val="Times New Roman"/>
      <family val="1"/>
    </font>
    <font>
      <vertAlign val="superscript"/>
      <sz val="11"/>
      <color rgb="FF000000"/>
      <name val="Times New Roman"/>
      <family val="1"/>
    </font>
    <font>
      <vertAlign val="superscript"/>
      <sz val="10"/>
      <color rgb="FF000000"/>
      <name val="Times New Roman"/>
      <family val="1"/>
    </font>
    <font>
      <sz val="10"/>
      <color rgb="FF000000"/>
      <name val="Times New Roman"/>
      <family val="1"/>
    </font>
    <font>
      <sz val="11"/>
      <color rgb="FFB34700"/>
      <name val="Times New Roman"/>
      <family val="1"/>
    </font>
    <font>
      <vertAlign val="superscript"/>
      <sz val="11"/>
      <color rgb="FFB34700"/>
      <name val="Times New Roman"/>
      <family val="1"/>
    </font>
    <font>
      <b/>
      <vertAlign val="superscript"/>
      <sz val="12"/>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right/>
      <top style="thin">
        <color auto="1"/>
      </top>
      <bottom/>
      <diagonal/>
    </border>
    <border>
      <left/>
      <right/>
      <top/>
      <bottom style="double">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auto="1"/>
      </left>
      <right/>
      <top/>
      <bottom/>
      <diagonal/>
    </border>
    <border>
      <left/>
      <right/>
      <top style="thin">
        <color auto="1"/>
      </top>
      <bottom style="thin">
        <color indexed="64"/>
      </bottom>
      <diagonal/>
    </border>
    <border>
      <left/>
      <right style="thin">
        <color indexed="64"/>
      </right>
      <top/>
      <bottom/>
      <diagonal/>
    </border>
  </borders>
  <cellStyleXfs count="16">
    <xf numFmtId="0" fontId="0" fillId="0" borderId="0"/>
    <xf numFmtId="44"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275">
    <xf numFmtId="0" fontId="0" fillId="0" borderId="0" xfId="0"/>
    <xf numFmtId="0" fontId="7" fillId="2" borderId="0" xfId="0" applyFont="1" applyFill="1"/>
    <xf numFmtId="0" fontId="14" fillId="2" borderId="0" xfId="0" applyFont="1" applyFill="1"/>
    <xf numFmtId="0" fontId="8" fillId="2" borderId="0" xfId="0" applyFont="1" applyFill="1" applyAlignment="1">
      <alignment wrapText="1"/>
    </xf>
    <xf numFmtId="0" fontId="0" fillId="2" borderId="0" xfId="0" applyFill="1"/>
    <xf numFmtId="3" fontId="7" fillId="2" borderId="0" xfId="0" applyNumberFormat="1" applyFont="1" applyFill="1" applyAlignment="1">
      <alignment horizontal="right" vertical="center" indent="3"/>
    </xf>
    <xf numFmtId="0" fontId="13" fillId="3" borderId="0" xfId="0" applyFont="1" applyFill="1"/>
    <xf numFmtId="0" fontId="11" fillId="3" borderId="0" xfId="0" applyFont="1" applyFill="1"/>
    <xf numFmtId="0" fontId="6" fillId="3" borderId="0" xfId="0" applyFont="1" applyFill="1"/>
    <xf numFmtId="0" fontId="7" fillId="3" borderId="0" xfId="0" applyFont="1" applyFill="1" applyAlignment="1">
      <alignment horizontal="left"/>
    </xf>
    <xf numFmtId="0" fontId="7" fillId="2" borderId="0" xfId="0" applyFont="1" applyFill="1" applyAlignment="1">
      <alignment vertical="top" wrapText="1"/>
    </xf>
    <xf numFmtId="0" fontId="7" fillId="2" borderId="0" xfId="0" applyFont="1" applyFill="1" applyAlignment="1">
      <alignment horizontal="left"/>
    </xf>
    <xf numFmtId="3" fontId="7" fillId="2" borderId="2" xfId="0" applyNumberFormat="1" applyFont="1" applyFill="1" applyBorder="1" applyAlignment="1">
      <alignment horizontal="right" vertical="center" indent="3"/>
    </xf>
    <xf numFmtId="43" fontId="33" fillId="2" borderId="0" xfId="0" applyNumberFormat="1" applyFont="1" applyFill="1" applyAlignment="1">
      <alignment vertical="top"/>
    </xf>
    <xf numFmtId="0" fontId="7" fillId="2" borderId="0" xfId="0" applyFont="1" applyFill="1" applyAlignment="1">
      <alignment vertical="top"/>
    </xf>
    <xf numFmtId="0" fontId="0" fillId="2" borderId="0" xfId="0" applyFill="1" applyAlignment="1">
      <alignment vertical="top"/>
    </xf>
    <xf numFmtId="0" fontId="14" fillId="2" borderId="0" xfId="0" applyFont="1" applyFill="1" applyAlignment="1">
      <alignment vertical="top"/>
    </xf>
    <xf numFmtId="0" fontId="6" fillId="2" borderId="0" xfId="0" applyFont="1" applyFill="1" applyAlignment="1">
      <alignment vertical="top"/>
    </xf>
    <xf numFmtId="0" fontId="7" fillId="3" borderId="0" xfId="0" applyFont="1" applyFill="1" applyAlignment="1">
      <alignment vertical="top"/>
    </xf>
    <xf numFmtId="0" fontId="14" fillId="3" borderId="0" xfId="0" applyFont="1" applyFill="1" applyAlignment="1">
      <alignment vertical="top"/>
    </xf>
    <xf numFmtId="0" fontId="6" fillId="3" borderId="0" xfId="0" applyFont="1" applyFill="1" applyAlignment="1">
      <alignment vertical="top"/>
    </xf>
    <xf numFmtId="0" fontId="26" fillId="3" borderId="0" xfId="0" applyFont="1" applyFill="1" applyAlignment="1">
      <alignment vertical="top"/>
    </xf>
    <xf numFmtId="0" fontId="14" fillId="3" borderId="0" xfId="0" applyFont="1" applyFill="1" applyAlignment="1">
      <alignment horizontal="center" vertical="top"/>
    </xf>
    <xf numFmtId="0" fontId="22" fillId="3" borderId="0" xfId="0" applyFont="1" applyFill="1" applyAlignment="1">
      <alignment horizontal="left" vertical="top"/>
    </xf>
    <xf numFmtId="0" fontId="4" fillId="2" borderId="0" xfId="0" applyFont="1" applyFill="1" applyAlignment="1">
      <alignment vertical="top"/>
    </xf>
    <xf numFmtId="0" fontId="7" fillId="2" borderId="0" xfId="0" applyFont="1" applyFill="1" applyAlignment="1">
      <alignment horizontal="left" vertical="top"/>
    </xf>
    <xf numFmtId="0" fontId="18" fillId="2" borderId="0" xfId="0" applyFont="1" applyFill="1" applyAlignment="1">
      <alignment vertical="top"/>
    </xf>
    <xf numFmtId="0" fontId="18" fillId="2" borderId="0" xfId="0" quotePrefix="1" applyFont="1" applyFill="1" applyAlignment="1">
      <alignment vertical="top"/>
    </xf>
    <xf numFmtId="4" fontId="7" fillId="2" borderId="0" xfId="0" applyNumberFormat="1" applyFont="1" applyFill="1" applyAlignment="1">
      <alignment horizontal="right" vertical="top"/>
    </xf>
    <xf numFmtId="0" fontId="7" fillId="3" borderId="0" xfId="0" applyFont="1" applyFill="1" applyAlignment="1">
      <alignment vertical="top" wrapText="1"/>
    </xf>
    <xf numFmtId="4" fontId="7" fillId="3" borderId="0" xfId="0" applyNumberFormat="1" applyFont="1" applyFill="1" applyAlignment="1">
      <alignment horizontal="right"/>
    </xf>
    <xf numFmtId="0" fontId="7" fillId="3" borderId="0" xfId="0" applyFont="1" applyFill="1" applyAlignment="1">
      <alignment horizontal="right"/>
    </xf>
    <xf numFmtId="0" fontId="8" fillId="3" borderId="0" xfId="0" applyFont="1" applyFill="1" applyAlignment="1">
      <alignment vertical="top"/>
    </xf>
    <xf numFmtId="0" fontId="6" fillId="3" borderId="0" xfId="0" applyFont="1" applyFill="1" applyAlignment="1">
      <alignment horizontal="left" vertical="top"/>
    </xf>
    <xf numFmtId="4" fontId="6" fillId="3" borderId="0" xfId="0" applyNumberFormat="1" applyFont="1" applyFill="1" applyAlignment="1">
      <alignment horizontal="right"/>
    </xf>
    <xf numFmtId="0" fontId="9" fillId="2" borderId="11" xfId="0" applyFont="1" applyFill="1" applyBorder="1" applyAlignment="1">
      <alignment vertical="top"/>
    </xf>
    <xf numFmtId="0" fontId="9" fillId="3" borderId="11" xfId="0" applyFont="1" applyFill="1" applyBorder="1" applyAlignment="1">
      <alignment horizontal="right" vertical="top" wrapText="1"/>
    </xf>
    <xf numFmtId="0" fontId="16" fillId="3" borderId="0" xfId="0" applyFont="1" applyFill="1" applyAlignment="1">
      <alignment horizontal="right" vertical="top"/>
    </xf>
    <xf numFmtId="0" fontId="16" fillId="3" borderId="0" xfId="0" applyFont="1" applyFill="1" applyAlignment="1">
      <alignment vertical="top"/>
    </xf>
    <xf numFmtId="0" fontId="23" fillId="3" borderId="0" xfId="0" applyFont="1" applyFill="1" applyAlignment="1">
      <alignment vertical="top"/>
    </xf>
    <xf numFmtId="3" fontId="7" fillId="2" borderId="0" xfId="0" applyNumberFormat="1" applyFont="1" applyFill="1" applyAlignment="1">
      <alignment horizontal="right" vertical="top"/>
    </xf>
    <xf numFmtId="3" fontId="6" fillId="2" borderId="0" xfId="0" applyNumberFormat="1" applyFont="1" applyFill="1" applyAlignment="1">
      <alignment horizontal="right" vertical="top"/>
    </xf>
    <xf numFmtId="0" fontId="16" fillId="3" borderId="0" xfId="0" applyFont="1" applyFill="1"/>
    <xf numFmtId="0" fontId="9" fillId="3" borderId="13" xfId="0" applyFont="1" applyFill="1" applyBorder="1" applyAlignment="1">
      <alignment horizontal="left" vertical="top"/>
    </xf>
    <xf numFmtId="0" fontId="9" fillId="3" borderId="13" xfId="0" applyFont="1" applyFill="1" applyBorder="1" applyAlignment="1">
      <alignment horizontal="right" vertical="top"/>
    </xf>
    <xf numFmtId="0" fontId="9" fillId="3" borderId="11" xfId="0" applyFont="1" applyFill="1" applyBorder="1" applyAlignment="1">
      <alignment horizontal="right" vertical="top"/>
    </xf>
    <xf numFmtId="0" fontId="6" fillId="3" borderId="0" xfId="0" applyFont="1" applyFill="1" applyAlignment="1">
      <alignment horizontal="left"/>
    </xf>
    <xf numFmtId="0" fontId="22" fillId="3" borderId="0" xfId="0" applyFont="1" applyFill="1" applyAlignment="1">
      <alignment horizontal="left"/>
    </xf>
    <xf numFmtId="0" fontId="5" fillId="3" borderId="0" xfId="0" applyFont="1" applyFill="1" applyAlignment="1">
      <alignment horizontal="left"/>
    </xf>
    <xf numFmtId="0" fontId="9" fillId="3" borderId="0" xfId="0" applyFont="1" applyFill="1" applyAlignment="1">
      <alignment horizontal="left"/>
    </xf>
    <xf numFmtId="0" fontId="5" fillId="3" borderId="0" xfId="0" applyFont="1" applyFill="1" applyAlignment="1">
      <alignment horizontal="left" wrapText="1"/>
    </xf>
    <xf numFmtId="0" fontId="6" fillId="3" borderId="0" xfId="0" applyFont="1" applyFill="1" applyAlignment="1">
      <alignment horizontal="left" wrapText="1"/>
    </xf>
    <xf numFmtId="0" fontId="7" fillId="3" borderId="11" xfId="0" applyFont="1" applyFill="1" applyBorder="1" applyAlignment="1">
      <alignment horizontal="left"/>
    </xf>
    <xf numFmtId="4" fontId="9" fillId="3" borderId="0" xfId="0" applyNumberFormat="1" applyFont="1" applyFill="1" applyAlignment="1">
      <alignment horizontal="right"/>
    </xf>
    <xf numFmtId="3" fontId="9" fillId="3" borderId="0" xfId="0" applyNumberFormat="1" applyFont="1" applyFill="1" applyAlignment="1">
      <alignment horizontal="right"/>
    </xf>
    <xf numFmtId="3" fontId="7" fillId="2" borderId="0" xfId="0" applyNumberFormat="1" applyFont="1" applyFill="1" applyAlignment="1">
      <alignment horizontal="right"/>
    </xf>
    <xf numFmtId="4" fontId="7" fillId="3" borderId="0" xfId="0" applyNumberFormat="1" applyFont="1" applyFill="1" applyAlignment="1" applyProtection="1">
      <alignment horizontal="right"/>
      <protection locked="0"/>
    </xf>
    <xf numFmtId="3" fontId="7" fillId="3" borderId="0" xfId="0" applyNumberFormat="1" applyFont="1" applyFill="1" applyAlignment="1">
      <alignment horizontal="right"/>
    </xf>
    <xf numFmtId="3" fontId="15" fillId="3" borderId="0" xfId="0" applyNumberFormat="1" applyFont="1" applyFill="1" applyAlignment="1">
      <alignment horizontal="right"/>
    </xf>
    <xf numFmtId="4" fontId="12" fillId="3" borderId="0" xfId="0" applyNumberFormat="1" applyFont="1" applyFill="1" applyAlignment="1">
      <alignment horizontal="right"/>
    </xf>
    <xf numFmtId="0" fontId="7" fillId="0" borderId="0" xfId="0" applyFont="1" applyAlignment="1">
      <alignment horizontal="left"/>
    </xf>
    <xf numFmtId="0" fontId="9" fillId="3" borderId="13" xfId="0" applyFont="1" applyFill="1" applyBorder="1" applyAlignment="1">
      <alignment horizontal="right" wrapText="1"/>
    </xf>
    <xf numFmtId="0" fontId="9" fillId="3" borderId="11" xfId="0" applyFont="1" applyFill="1" applyBorder="1" applyAlignment="1">
      <alignment horizontal="right" wrapText="1"/>
    </xf>
    <xf numFmtId="1" fontId="22" fillId="3" borderId="0" xfId="0" applyNumberFormat="1" applyFont="1" applyFill="1" applyAlignment="1">
      <alignment horizontal="center"/>
    </xf>
    <xf numFmtId="1" fontId="22" fillId="3" borderId="11" xfId="0" applyNumberFormat="1" applyFont="1" applyFill="1" applyBorder="1" applyAlignment="1">
      <alignment horizontal="center"/>
    </xf>
    <xf numFmtId="1" fontId="7" fillId="3" borderId="0" xfId="0" applyNumberFormat="1" applyFont="1" applyFill="1" applyAlignment="1">
      <alignment horizontal="center"/>
    </xf>
    <xf numFmtId="1" fontId="7" fillId="3" borderId="11" xfId="0" applyNumberFormat="1" applyFont="1" applyFill="1" applyBorder="1" applyAlignment="1">
      <alignment horizontal="center"/>
    </xf>
    <xf numFmtId="0" fontId="11" fillId="3" borderId="0" xfId="0" applyFont="1" applyFill="1" applyAlignment="1">
      <alignment horizontal="center"/>
    </xf>
    <xf numFmtId="0" fontId="26" fillId="3" borderId="0" xfId="0" applyFont="1" applyFill="1" applyAlignment="1">
      <alignment horizontal="center"/>
    </xf>
    <xf numFmtId="0" fontId="13" fillId="3" borderId="0" xfId="0" applyFont="1" applyFill="1" applyAlignment="1">
      <alignment horizontal="center"/>
    </xf>
    <xf numFmtId="3" fontId="7" fillId="3" borderId="0" xfId="0" applyNumberFormat="1" applyFont="1" applyFill="1" applyAlignment="1" applyProtection="1">
      <alignment horizontal="right"/>
      <protection locked="0"/>
    </xf>
    <xf numFmtId="3" fontId="41" fillId="3" borderId="0" xfId="0" applyNumberFormat="1" applyFont="1" applyFill="1" applyAlignment="1">
      <alignment horizontal="right"/>
    </xf>
    <xf numFmtId="0" fontId="27" fillId="3" borderId="0" xfId="0" applyFont="1" applyFill="1" applyAlignment="1">
      <alignment vertical="top" wrapText="1"/>
    </xf>
    <xf numFmtId="0" fontId="24" fillId="3" borderId="0" xfId="0" applyFont="1" applyFill="1"/>
    <xf numFmtId="0" fontId="24" fillId="3" borderId="0" xfId="0" applyFont="1" applyFill="1" applyAlignment="1">
      <alignment vertical="top"/>
    </xf>
    <xf numFmtId="0" fontId="24" fillId="3" borderId="0" xfId="0" applyFont="1" applyFill="1" applyAlignment="1">
      <alignment horizontal="left" vertical="top" wrapText="1"/>
    </xf>
    <xf numFmtId="0" fontId="8" fillId="3" borderId="11" xfId="0" applyFont="1" applyFill="1" applyBorder="1"/>
    <xf numFmtId="0" fontId="0" fillId="3" borderId="0" xfId="0" applyFill="1"/>
    <xf numFmtId="0" fontId="22" fillId="3" borderId="0" xfId="0" applyFont="1" applyFill="1"/>
    <xf numFmtId="0" fontId="27" fillId="3" borderId="0" xfId="0" applyFont="1" applyFill="1" applyAlignment="1">
      <alignment vertical="top"/>
    </xf>
    <xf numFmtId="0" fontId="13" fillId="3" borderId="0" xfId="0" applyFont="1" applyFill="1" applyAlignment="1">
      <alignment horizontal="left" vertical="top"/>
    </xf>
    <xf numFmtId="0" fontId="9" fillId="3" borderId="0" xfId="0" applyFont="1" applyFill="1" applyAlignment="1">
      <alignment horizontal="left" vertical="top"/>
    </xf>
    <xf numFmtId="0" fontId="6" fillId="3" borderId="11" xfId="0" applyFont="1" applyFill="1" applyBorder="1" applyAlignment="1">
      <alignment vertical="top"/>
    </xf>
    <xf numFmtId="0" fontId="7" fillId="3" borderId="0" xfId="0" quotePrefix="1" applyFont="1" applyFill="1" applyAlignment="1">
      <alignment horizontal="left" vertical="top"/>
    </xf>
    <xf numFmtId="0" fontId="6" fillId="3" borderId="0" xfId="0" applyFont="1" applyFill="1" applyAlignment="1">
      <alignment vertical="top" wrapText="1"/>
    </xf>
    <xf numFmtId="0" fontId="6" fillId="3" borderId="0" xfId="0" quotePrefix="1" applyFont="1" applyFill="1" applyAlignment="1">
      <alignment horizontal="left" vertical="top"/>
    </xf>
    <xf numFmtId="0" fontId="7" fillId="3" borderId="0" xfId="0" applyFont="1" applyFill="1" applyAlignment="1">
      <alignment wrapText="1"/>
    </xf>
    <xf numFmtId="0" fontId="7" fillId="3" borderId="0" xfId="0" quotePrefix="1" applyFont="1" applyFill="1" applyAlignment="1">
      <alignment horizontal="left" vertical="top" wrapText="1"/>
    </xf>
    <xf numFmtId="0" fontId="22" fillId="3" borderId="0" xfId="0" applyFont="1" applyFill="1" applyAlignment="1">
      <alignment vertical="top" wrapText="1"/>
    </xf>
    <xf numFmtId="0" fontId="8" fillId="3" borderId="0" xfId="0" applyFont="1" applyFill="1"/>
    <xf numFmtId="0" fontId="9" fillId="2" borderId="11" xfId="0" applyFont="1" applyFill="1" applyBorder="1" applyAlignment="1">
      <alignment horizontal="left" vertical="top" wrapText="1"/>
    </xf>
    <xf numFmtId="0" fontId="9" fillId="2" borderId="11" xfId="0" applyFont="1" applyFill="1" applyBorder="1" applyAlignment="1">
      <alignment horizontal="right" vertical="top" wrapText="1"/>
    </xf>
    <xf numFmtId="0" fontId="5" fillId="2" borderId="11" xfId="0" applyFont="1" applyFill="1" applyBorder="1" applyAlignment="1">
      <alignment horizontal="right" vertical="top"/>
    </xf>
    <xf numFmtId="0" fontId="5" fillId="2" borderId="11" xfId="0" applyFont="1" applyFill="1" applyBorder="1" applyAlignment="1">
      <alignment vertical="top"/>
    </xf>
    <xf numFmtId="0" fontId="8" fillId="2" borderId="11" xfId="0" applyFont="1" applyFill="1" applyBorder="1"/>
    <xf numFmtId="0" fontId="18" fillId="2" borderId="0" xfId="0" applyFont="1" applyFill="1"/>
    <xf numFmtId="0" fontId="2" fillId="2" borderId="0" xfId="0" applyFont="1" applyFill="1" applyAlignment="1">
      <alignment wrapText="1"/>
    </xf>
    <xf numFmtId="0" fontId="9" fillId="3" borderId="11" xfId="0" applyFont="1" applyFill="1" applyBorder="1" applyAlignment="1">
      <alignment horizontal="left" vertical="top"/>
    </xf>
    <xf numFmtId="0" fontId="8" fillId="3" borderId="0" xfId="0" applyFont="1" applyFill="1" applyAlignment="1">
      <alignment horizontal="left" vertical="top"/>
    </xf>
    <xf numFmtId="0" fontId="0" fillId="3" borderId="0" xfId="0" applyFill="1" applyAlignment="1">
      <alignment vertical="top"/>
    </xf>
    <xf numFmtId="3" fontId="7" fillId="2" borderId="0" xfId="0" applyNumberFormat="1" applyFont="1" applyFill="1"/>
    <xf numFmtId="0" fontId="7" fillId="2" borderId="0" xfId="0" applyFont="1" applyFill="1" applyAlignment="1">
      <alignment horizontal="left" wrapText="1"/>
    </xf>
    <xf numFmtId="0" fontId="9" fillId="2" borderId="0" xfId="0" applyFont="1" applyFill="1" applyAlignment="1">
      <alignment horizontal="left"/>
    </xf>
    <xf numFmtId="0" fontId="7" fillId="3" borderId="0" xfId="0" applyFont="1" applyFill="1"/>
    <xf numFmtId="0" fontId="14" fillId="3" borderId="0" xfId="0" applyFont="1" applyFill="1"/>
    <xf numFmtId="4" fontId="7" fillId="3" borderId="0" xfId="0" applyNumberFormat="1" applyFont="1" applyFill="1"/>
    <xf numFmtId="0" fontId="11" fillId="3" borderId="0" xfId="0" applyFont="1" applyFill="1" applyAlignment="1">
      <alignment horizontal="left"/>
    </xf>
    <xf numFmtId="164" fontId="7" fillId="3" borderId="0" xfId="1" applyNumberFormat="1" applyFont="1" applyFill="1" applyAlignment="1">
      <alignment horizontal="right"/>
    </xf>
    <xf numFmtId="0" fontId="11" fillId="3" borderId="0" xfId="0" applyFont="1" applyFill="1" applyAlignment="1">
      <alignment horizontal="left" wrapText="1"/>
    </xf>
    <xf numFmtId="0" fontId="6" fillId="2" borderId="0" xfId="0" applyFont="1" applyFill="1"/>
    <xf numFmtId="3" fontId="6" fillId="2" borderId="0" xfId="0" applyNumberFormat="1" applyFont="1" applyFill="1" applyAlignment="1">
      <alignment horizontal="right"/>
    </xf>
    <xf numFmtId="0" fontId="4" fillId="2" borderId="0" xfId="0" applyFont="1" applyFill="1"/>
    <xf numFmtId="0" fontId="26" fillId="3" borderId="0" xfId="0" applyFont="1" applyFill="1"/>
    <xf numFmtId="0" fontId="9" fillId="3" borderId="13" xfId="0" applyFont="1" applyFill="1" applyBorder="1" applyAlignment="1">
      <alignment horizontal="left" wrapText="1"/>
    </xf>
    <xf numFmtId="0" fontId="7" fillId="3" borderId="0" xfId="0" quotePrefix="1" applyFont="1" applyFill="1"/>
    <xf numFmtId="165" fontId="7" fillId="3" borderId="0" xfId="0" applyNumberFormat="1" applyFont="1" applyFill="1" applyAlignment="1" applyProtection="1">
      <alignment horizontal="right"/>
      <protection locked="0"/>
    </xf>
    <xf numFmtId="4" fontId="7" fillId="3" borderId="0" xfId="0" quotePrefix="1" applyNumberFormat="1" applyFont="1" applyFill="1"/>
    <xf numFmtId="4" fontId="15" fillId="3" borderId="0" xfId="0" applyNumberFormat="1" applyFont="1" applyFill="1" applyAlignment="1">
      <alignment horizontal="right"/>
    </xf>
    <xf numFmtId="0" fontId="7" fillId="3" borderId="11" xfId="0" applyFont="1" applyFill="1" applyBorder="1"/>
    <xf numFmtId="0" fontId="31" fillId="3" borderId="0" xfId="0" applyFont="1" applyFill="1"/>
    <xf numFmtId="3" fontId="7" fillId="3" borderId="0" xfId="0" applyNumberFormat="1" applyFont="1" applyFill="1" applyAlignment="1" applyProtection="1">
      <alignment horizontal="center"/>
      <protection locked="0"/>
    </xf>
    <xf numFmtId="3" fontId="7" fillId="3" borderId="11" xfId="0" applyNumberFormat="1" applyFont="1" applyFill="1" applyBorder="1" applyAlignment="1" applyProtection="1">
      <alignment horizontal="center"/>
      <protection locked="0"/>
    </xf>
    <xf numFmtId="3" fontId="11" fillId="3" borderId="0" xfId="0" applyNumberFormat="1" applyFont="1" applyFill="1" applyAlignment="1" applyProtection="1">
      <alignment horizontal="center"/>
      <protection locked="0"/>
    </xf>
    <xf numFmtId="3" fontId="34" fillId="3" borderId="0" xfId="0" applyNumberFormat="1" applyFont="1" applyFill="1" applyAlignment="1" applyProtection="1">
      <alignment horizontal="center"/>
      <protection locked="0"/>
    </xf>
    <xf numFmtId="0" fontId="25" fillId="3" borderId="0" xfId="0" applyFont="1" applyFill="1"/>
    <xf numFmtId="0" fontId="2" fillId="2" borderId="11" xfId="0" applyFont="1" applyFill="1" applyBorder="1"/>
    <xf numFmtId="166" fontId="7" fillId="2" borderId="0" xfId="0" applyNumberFormat="1" applyFont="1" applyFill="1" applyAlignment="1">
      <alignment horizontal="right"/>
    </xf>
    <xf numFmtId="0" fontId="6" fillId="2" borderId="0" xfId="0" quotePrefix="1" applyFont="1" applyFill="1"/>
    <xf numFmtId="4" fontId="7" fillId="2" borderId="0" xfId="0" applyNumberFormat="1" applyFont="1" applyFill="1" applyAlignment="1" applyProtection="1">
      <alignment horizontal="right"/>
      <protection locked="0"/>
    </xf>
    <xf numFmtId="4" fontId="6" fillId="2" borderId="0" xfId="0" applyNumberFormat="1" applyFont="1" applyFill="1" applyAlignment="1">
      <alignment horizontal="right"/>
    </xf>
    <xf numFmtId="4" fontId="6" fillId="2" borderId="0" xfId="0" applyNumberFormat="1" applyFont="1" applyFill="1"/>
    <xf numFmtId="0" fontId="6" fillId="2" borderId="0" xfId="0" applyFont="1" applyFill="1" applyAlignment="1">
      <alignment horizontal="right"/>
    </xf>
    <xf numFmtId="164" fontId="6" fillId="2" borderId="0" xfId="0" applyNumberFormat="1" applyFont="1" applyFill="1"/>
    <xf numFmtId="44" fontId="6" fillId="2" borderId="0" xfId="0" applyNumberFormat="1" applyFont="1" applyFill="1"/>
    <xf numFmtId="0" fontId="4" fillId="2" borderId="0" xfId="0" applyFont="1" applyFill="1" applyAlignment="1">
      <alignment horizontal="left"/>
    </xf>
    <xf numFmtId="3" fontId="9" fillId="2" borderId="0" xfId="0" applyNumberFormat="1" applyFont="1" applyFill="1"/>
    <xf numFmtId="3" fontId="9" fillId="2" borderId="0" xfId="0" applyNumberFormat="1" applyFont="1" applyFill="1" applyAlignment="1">
      <alignment horizontal="right"/>
    </xf>
    <xf numFmtId="166" fontId="7" fillId="3" borderId="0" xfId="0" applyNumberFormat="1" applyFont="1" applyFill="1" applyAlignment="1">
      <alignment horizontal="right"/>
    </xf>
    <xf numFmtId="4" fontId="7" fillId="3" borderId="1" xfId="0" applyNumberFormat="1" applyFont="1" applyFill="1" applyBorder="1"/>
    <xf numFmtId="0" fontId="6" fillId="3" borderId="0" xfId="0" applyFont="1" applyFill="1" applyAlignment="1">
      <alignment horizontal="right"/>
    </xf>
    <xf numFmtId="165" fontId="7" fillId="3" borderId="0" xfId="0" applyNumberFormat="1" applyFont="1" applyFill="1"/>
    <xf numFmtId="166" fontId="7" fillId="3" borderId="11" xfId="0" applyNumberFormat="1" applyFont="1" applyFill="1" applyBorder="1" applyAlignment="1">
      <alignment horizontal="right"/>
    </xf>
    <xf numFmtId="4" fontId="7" fillId="3" borderId="11" xfId="0" applyNumberFormat="1" applyFont="1" applyFill="1" applyBorder="1"/>
    <xf numFmtId="0" fontId="6" fillId="3" borderId="11" xfId="0" applyFont="1" applyFill="1" applyBorder="1" applyAlignment="1">
      <alignment horizontal="right"/>
    </xf>
    <xf numFmtId="0" fontId="6" fillId="2" borderId="0" xfId="0" applyFont="1" applyFill="1" applyAlignment="1">
      <alignment wrapText="1" shrinkToFit="1"/>
    </xf>
    <xf numFmtId="3" fontId="6" fillId="2" borderId="0" xfId="0" applyNumberFormat="1" applyFont="1" applyFill="1" applyAlignment="1">
      <alignment wrapText="1" shrinkToFit="1"/>
    </xf>
    <xf numFmtId="0" fontId="7" fillId="3" borderId="11" xfId="0" applyFont="1" applyFill="1" applyBorder="1" applyAlignment="1">
      <alignment wrapText="1"/>
    </xf>
    <xf numFmtId="166" fontId="6" fillId="2" borderId="0" xfId="0" applyNumberFormat="1" applyFont="1" applyFill="1" applyAlignment="1">
      <alignment wrapText="1" shrinkToFit="1"/>
    </xf>
    <xf numFmtId="0" fontId="4" fillId="2" borderId="0" xfId="0" applyFont="1" applyFill="1" applyAlignment="1">
      <alignment wrapText="1"/>
    </xf>
    <xf numFmtId="0" fontId="4" fillId="2" borderId="0" xfId="0" applyFont="1" applyFill="1" applyAlignment="1">
      <alignment wrapText="1" shrinkToFit="1"/>
    </xf>
    <xf numFmtId="0" fontId="5" fillId="3" borderId="11" xfId="0" applyFont="1" applyFill="1" applyBorder="1" applyAlignment="1">
      <alignment horizontal="left" vertical="top"/>
    </xf>
    <xf numFmtId="2" fontId="7" fillId="3" borderId="0" xfId="0" applyNumberFormat="1" applyFont="1" applyFill="1" applyAlignment="1" applyProtection="1">
      <alignment horizontal="right"/>
      <protection locked="0"/>
    </xf>
    <xf numFmtId="9" fontId="7" fillId="3" borderId="0" xfId="2" applyFont="1" applyFill="1" applyAlignment="1"/>
    <xf numFmtId="0" fontId="9" fillId="3" borderId="0" xfId="0" applyFont="1" applyFill="1"/>
    <xf numFmtId="3" fontId="6" fillId="3" borderId="0" xfId="0" applyNumberFormat="1" applyFont="1" applyFill="1"/>
    <xf numFmtId="3" fontId="14" fillId="3" borderId="0" xfId="0" applyNumberFormat="1" applyFont="1" applyFill="1"/>
    <xf numFmtId="3" fontId="41" fillId="3" borderId="0" xfId="0" applyNumberFormat="1" applyFont="1" applyFill="1"/>
    <xf numFmtId="1" fontId="6" fillId="3" borderId="0" xfId="0" applyNumberFormat="1" applyFont="1" applyFill="1"/>
    <xf numFmtId="0" fontId="0" fillId="0" borderId="0" xfId="0" applyAlignment="1">
      <alignment vertical="top"/>
    </xf>
    <xf numFmtId="0" fontId="7" fillId="0" borderId="0" xfId="0" applyFont="1" applyAlignment="1">
      <alignment vertical="top"/>
    </xf>
    <xf numFmtId="0" fontId="7" fillId="0" borderId="7" xfId="0" applyFont="1" applyBorder="1" applyAlignment="1">
      <alignment horizontal="left" vertical="top"/>
    </xf>
    <xf numFmtId="0" fontId="7" fillId="0" borderId="13" xfId="0" applyFont="1" applyBorder="1" applyAlignment="1">
      <alignment horizontal="left" vertical="top"/>
    </xf>
    <xf numFmtId="0" fontId="7" fillId="0" borderId="13" xfId="0" applyFont="1" applyBorder="1" applyAlignment="1">
      <alignment horizontal="right" vertical="top"/>
    </xf>
    <xf numFmtId="0" fontId="7" fillId="0" borderId="13" xfId="0" applyFont="1" applyBorder="1" applyAlignment="1">
      <alignment horizontal="right" vertical="top" wrapText="1"/>
    </xf>
    <xf numFmtId="0" fontId="7" fillId="0" borderId="0" xfId="0" applyFont="1" applyAlignment="1">
      <alignment horizontal="left" vertical="top"/>
    </xf>
    <xf numFmtId="166" fontId="7" fillId="0" borderId="0" xfId="0" applyNumberFormat="1" applyFont="1" applyAlignment="1">
      <alignment vertical="top"/>
    </xf>
    <xf numFmtId="0" fontId="22" fillId="0" borderId="3" xfId="0" applyFont="1" applyBorder="1" applyAlignment="1">
      <alignment horizontal="left" vertical="top"/>
    </xf>
    <xf numFmtId="0" fontId="22" fillId="0" borderId="0" xfId="0" applyFont="1" applyAlignment="1">
      <alignment horizontal="left" vertical="top"/>
    </xf>
    <xf numFmtId="0" fontId="7" fillId="0" borderId="1" xfId="0" applyFont="1" applyBorder="1" applyAlignment="1">
      <alignment horizontal="left" vertical="top" wrapText="1"/>
    </xf>
    <xf numFmtId="166" fontId="7" fillId="0" borderId="0" xfId="0" applyNumberFormat="1" applyFont="1" applyAlignment="1">
      <alignment horizontal="left" vertical="top" wrapText="1"/>
    </xf>
    <xf numFmtId="0" fontId="22" fillId="0" borderId="3" xfId="0" applyFont="1" applyBorder="1" applyAlignment="1">
      <alignment horizontal="left" vertical="top" wrapText="1"/>
    </xf>
    <xf numFmtId="0" fontId="7" fillId="0" borderId="12" xfId="0" applyFont="1" applyBorder="1" applyAlignment="1">
      <alignment horizontal="left" vertical="top"/>
    </xf>
    <xf numFmtId="0" fontId="7" fillId="0" borderId="9" xfId="0" applyFont="1" applyBorder="1" applyAlignment="1">
      <alignment horizontal="left" vertical="top"/>
    </xf>
    <xf numFmtId="0" fontId="7" fillId="0" borderId="11" xfId="0" applyFont="1" applyBorder="1" applyAlignment="1">
      <alignment horizontal="left" vertical="top"/>
    </xf>
    <xf numFmtId="0" fontId="7" fillId="0" borderId="11" xfId="0" applyFont="1" applyBorder="1" applyAlignment="1">
      <alignment horizontal="left" vertical="top" wrapText="1"/>
    </xf>
    <xf numFmtId="0" fontId="7" fillId="0" borderId="13" xfId="0" applyFont="1" applyBorder="1" applyAlignment="1">
      <alignment horizontal="left" vertical="top" wrapText="1"/>
    </xf>
    <xf numFmtId="0" fontId="7" fillId="0" borderId="4" xfId="0" applyFont="1" applyBorder="1" applyAlignment="1">
      <alignment horizontal="left" vertical="top"/>
    </xf>
    <xf numFmtId="0" fontId="7" fillId="0" borderId="1" xfId="0" applyFont="1" applyBorder="1" applyAlignment="1">
      <alignment horizontal="left" vertical="top"/>
    </xf>
    <xf numFmtId="0" fontId="7" fillId="0" borderId="3" xfId="0" applyFont="1" applyBorder="1" applyAlignment="1">
      <alignment horizontal="left" vertical="top"/>
    </xf>
    <xf numFmtId="2" fontId="24" fillId="0" borderId="0" xfId="0" applyNumberFormat="1" applyFont="1" applyAlignment="1">
      <alignment horizontal="right" vertical="top"/>
    </xf>
    <xf numFmtId="0" fontId="7" fillId="0" borderId="0" xfId="0" applyFont="1" applyAlignment="1">
      <alignment horizontal="left" vertical="top" wrapText="1"/>
    </xf>
    <xf numFmtId="0" fontId="7" fillId="0" borderId="6" xfId="0" applyFont="1" applyBorder="1" applyAlignment="1">
      <alignment horizontal="left" vertical="top"/>
    </xf>
    <xf numFmtId="166" fontId="7" fillId="0" borderId="13" xfId="0" applyNumberFormat="1" applyFont="1" applyBorder="1" applyAlignment="1">
      <alignment horizontal="left" vertical="top"/>
    </xf>
    <xf numFmtId="0" fontId="7" fillId="3" borderId="0" xfId="0" applyFont="1" applyFill="1" applyAlignment="1">
      <alignment horizontal="left" vertical="top"/>
    </xf>
    <xf numFmtId="0" fontId="7" fillId="0" borderId="5" xfId="0" applyFont="1" applyBorder="1" applyAlignment="1">
      <alignment horizontal="left" vertical="top"/>
    </xf>
    <xf numFmtId="166" fontId="7" fillId="0" borderId="1" xfId="0" applyNumberFormat="1" applyFont="1" applyBorder="1" applyAlignment="1">
      <alignment horizontal="left" vertical="top" wrapText="1"/>
    </xf>
    <xf numFmtId="0" fontId="7" fillId="0" borderId="8" xfId="0" applyFont="1" applyBorder="1" applyAlignment="1">
      <alignment horizontal="left" vertical="top"/>
    </xf>
    <xf numFmtId="166" fontId="7" fillId="0" borderId="11" xfId="0" applyNumberFormat="1" applyFont="1" applyBorder="1" applyAlignment="1">
      <alignment horizontal="left" vertical="top" wrapText="1"/>
    </xf>
    <xf numFmtId="166" fontId="7" fillId="0" borderId="1" xfId="0" applyNumberFormat="1" applyFont="1" applyBorder="1" applyAlignment="1">
      <alignment vertical="top" wrapText="1"/>
    </xf>
    <xf numFmtId="166" fontId="7" fillId="0" borderId="11" xfId="0" applyNumberFormat="1" applyFont="1" applyBorder="1" applyAlignment="1">
      <alignment vertical="top" wrapText="1"/>
    </xf>
    <xf numFmtId="166" fontId="7" fillId="0" borderId="0" xfId="0" applyNumberFormat="1" applyFont="1" applyAlignment="1">
      <alignment horizontal="left" vertical="top"/>
    </xf>
    <xf numFmtId="166" fontId="7" fillId="0" borderId="11" xfId="0" applyNumberFormat="1" applyFont="1" applyBorder="1" applyAlignment="1">
      <alignment horizontal="left" vertical="top"/>
    </xf>
    <xf numFmtId="166" fontId="7" fillId="0" borderId="0" xfId="0" applyNumberFormat="1" applyFont="1" applyAlignment="1">
      <alignment horizontal="right" vertical="top"/>
    </xf>
    <xf numFmtId="9" fontId="7" fillId="0" borderId="0" xfId="2" applyFont="1" applyFill="1" applyBorder="1" applyAlignment="1">
      <alignment horizontal="left" vertical="top"/>
    </xf>
    <xf numFmtId="9" fontId="7" fillId="0" borderId="0" xfId="2" applyFont="1" applyFill="1" applyBorder="1" applyAlignment="1">
      <alignment vertical="top"/>
    </xf>
    <xf numFmtId="0" fontId="7" fillId="0" borderId="10" xfId="0" applyFont="1" applyBorder="1" applyAlignment="1">
      <alignment horizontal="left" vertical="top"/>
    </xf>
    <xf numFmtId="0" fontId="7" fillId="0" borderId="0" xfId="0" applyFont="1" applyAlignment="1">
      <alignment horizontal="right" vertical="top"/>
    </xf>
    <xf numFmtId="0" fontId="9" fillId="0" borderId="0" xfId="0" applyFont="1"/>
    <xf numFmtId="0" fontId="7" fillId="0" borderId="0" xfId="0" applyFont="1"/>
    <xf numFmtId="9" fontId="6" fillId="3" borderId="0" xfId="2" applyFont="1" applyFill="1"/>
    <xf numFmtId="167" fontId="7" fillId="2" borderId="0" xfId="0" applyNumberFormat="1" applyFont="1" applyFill="1" applyAlignment="1">
      <alignment horizontal="right"/>
    </xf>
    <xf numFmtId="0" fontId="45" fillId="3" borderId="0" xfId="0" applyFont="1" applyFill="1"/>
    <xf numFmtId="3" fontId="45" fillId="2" borderId="0" xfId="0" applyNumberFormat="1" applyFont="1" applyFill="1"/>
    <xf numFmtId="9" fontId="45" fillId="2" borderId="0" xfId="2" applyFont="1" applyFill="1" applyAlignment="1"/>
    <xf numFmtId="166" fontId="45" fillId="2" borderId="0" xfId="0" applyNumberFormat="1" applyFont="1" applyFill="1"/>
    <xf numFmtId="9" fontId="45" fillId="2" borderId="0" xfId="2" applyFont="1" applyFill="1" applyBorder="1" applyAlignment="1"/>
    <xf numFmtId="0" fontId="45" fillId="3" borderId="0" xfId="0" applyFont="1" applyFill="1" applyAlignment="1">
      <alignment horizontal="left"/>
    </xf>
    <xf numFmtId="3" fontId="45" fillId="2" borderId="0" xfId="0" applyNumberFormat="1" applyFont="1" applyFill="1" applyAlignment="1" applyProtection="1">
      <alignment horizontal="right" vertical="center" indent="3"/>
      <protection locked="0"/>
    </xf>
    <xf numFmtId="3" fontId="45" fillId="2" borderId="0" xfId="0" applyNumberFormat="1" applyFont="1" applyFill="1" applyAlignment="1" applyProtection="1">
      <alignment horizontal="center" vertical="center"/>
      <protection locked="0"/>
    </xf>
    <xf numFmtId="0" fontId="45" fillId="2" borderId="0" xfId="0" applyFont="1" applyFill="1" applyAlignment="1">
      <alignment horizontal="left"/>
    </xf>
    <xf numFmtId="3" fontId="45" fillId="2" borderId="0" xfId="0" applyNumberFormat="1" applyFont="1" applyFill="1" applyAlignment="1" applyProtection="1">
      <alignment horizontal="right" vertical="top"/>
      <protection locked="0"/>
    </xf>
    <xf numFmtId="3" fontId="45" fillId="3" borderId="0" xfId="0" applyNumberFormat="1" applyFont="1" applyFill="1" applyAlignment="1" applyProtection="1">
      <alignment horizontal="right" vertical="top"/>
      <protection locked="0"/>
    </xf>
    <xf numFmtId="3" fontId="45" fillId="3" borderId="0" xfId="0" applyNumberFormat="1" applyFont="1" applyFill="1" applyAlignment="1" applyProtection="1">
      <alignment horizontal="center"/>
      <protection locked="0"/>
    </xf>
    <xf numFmtId="9" fontId="45" fillId="3" borderId="0" xfId="2" applyFont="1" applyFill="1" applyBorder="1" applyAlignment="1" applyProtection="1">
      <alignment horizontal="center"/>
      <protection locked="0"/>
    </xf>
    <xf numFmtId="3" fontId="45" fillId="3" borderId="11" xfId="0" applyNumberFormat="1" applyFont="1" applyFill="1" applyBorder="1" applyAlignment="1" applyProtection="1">
      <alignment horizontal="center"/>
      <protection locked="0"/>
    </xf>
    <xf numFmtId="4" fontId="45" fillId="2" borderId="0" xfId="0" applyNumberFormat="1" applyFont="1" applyFill="1" applyAlignment="1" applyProtection="1">
      <alignment horizontal="right"/>
      <protection locked="0"/>
    </xf>
    <xf numFmtId="167" fontId="45" fillId="0" borderId="0" xfId="0" applyNumberFormat="1" applyFont="1" applyAlignment="1">
      <alignment horizontal="right" vertical="top"/>
    </xf>
    <xf numFmtId="166" fontId="45" fillId="0" borderId="0" xfId="0" applyNumberFormat="1" applyFont="1" applyAlignment="1">
      <alignment horizontal="right" vertical="top"/>
    </xf>
    <xf numFmtId="3" fontId="45" fillId="0" borderId="0" xfId="0" applyNumberFormat="1" applyFont="1" applyAlignment="1">
      <alignment horizontal="right" vertical="top"/>
    </xf>
    <xf numFmtId="9" fontId="45" fillId="0" borderId="0" xfId="2" applyFont="1" applyAlignment="1">
      <alignment horizontal="right" vertical="top"/>
    </xf>
    <xf numFmtId="167" fontId="45" fillId="0" borderId="11" xfId="0" applyNumberFormat="1" applyFont="1" applyBorder="1" applyAlignment="1">
      <alignment horizontal="right" vertical="top"/>
    </xf>
    <xf numFmtId="9" fontId="45" fillId="0" borderId="11" xfId="2" applyFont="1" applyBorder="1" applyAlignment="1">
      <alignment horizontal="right" vertical="top"/>
    </xf>
    <xf numFmtId="166" fontId="45" fillId="0" borderId="13" xfId="0" applyNumberFormat="1" applyFont="1" applyBorder="1" applyAlignment="1">
      <alignment horizontal="right" vertical="top"/>
    </xf>
    <xf numFmtId="167" fontId="45" fillId="0" borderId="13" xfId="0" applyNumberFormat="1" applyFont="1" applyBorder="1" applyAlignment="1">
      <alignment horizontal="right" vertical="top"/>
    </xf>
    <xf numFmtId="166" fontId="45" fillId="0" borderId="1" xfId="0" applyNumberFormat="1" applyFont="1" applyBorder="1" applyAlignment="1">
      <alignment horizontal="right" vertical="top"/>
    </xf>
    <xf numFmtId="167" fontId="45" fillId="0" borderId="1" xfId="0" applyNumberFormat="1" applyFont="1" applyBorder="1" applyAlignment="1">
      <alignment horizontal="right" vertical="top"/>
    </xf>
    <xf numFmtId="2" fontId="45" fillId="0" borderId="0" xfId="0" applyNumberFormat="1" applyFont="1" applyAlignment="1">
      <alignment horizontal="right" vertical="top"/>
    </xf>
    <xf numFmtId="166" fontId="45" fillId="0" borderId="11" xfId="0" applyNumberFormat="1" applyFont="1" applyBorder="1" applyAlignment="1">
      <alignment horizontal="right" vertical="top"/>
    </xf>
    <xf numFmtId="0" fontId="45" fillId="0" borderId="0" xfId="0" applyFont="1" applyAlignment="1">
      <alignment horizontal="right" vertical="top"/>
    </xf>
    <xf numFmtId="0" fontId="45" fillId="0" borderId="1" xfId="0" applyFont="1" applyBorder="1" applyAlignment="1">
      <alignment horizontal="right" vertical="top"/>
    </xf>
    <xf numFmtId="0" fontId="45" fillId="0" borderId="11" xfId="0" applyFont="1" applyBorder="1" applyAlignment="1">
      <alignment horizontal="right" vertical="top"/>
    </xf>
    <xf numFmtId="9" fontId="45" fillId="0" borderId="0" xfId="2" applyFont="1" applyFill="1" applyBorder="1" applyAlignment="1">
      <alignment horizontal="right" vertical="top"/>
    </xf>
    <xf numFmtId="0" fontId="7" fillId="3" borderId="0" xfId="0" applyFont="1" applyFill="1" applyAlignment="1">
      <alignment horizontal="left" vertical="top" wrapText="1"/>
    </xf>
    <xf numFmtId="0" fontId="2" fillId="2" borderId="0" xfId="0" applyFont="1" applyFill="1"/>
    <xf numFmtId="0" fontId="11" fillId="3" borderId="0" xfId="0" applyFont="1" applyFill="1" applyAlignment="1">
      <alignment horizontal="left" vertical="top"/>
    </xf>
    <xf numFmtId="0" fontId="4" fillId="2" borderId="0" xfId="0" applyFont="1" applyFill="1" applyAlignment="1">
      <alignment horizontal="left" vertical="top"/>
    </xf>
    <xf numFmtId="0" fontId="11" fillId="3" borderId="0" xfId="0" applyFont="1" applyFill="1" applyAlignment="1">
      <alignment vertical="top"/>
    </xf>
    <xf numFmtId="0" fontId="4" fillId="3" borderId="0" xfId="0" applyFont="1" applyFill="1" applyAlignment="1">
      <alignment vertical="top"/>
    </xf>
    <xf numFmtId="0" fontId="4" fillId="2" borderId="0" xfId="0" applyFont="1" applyFill="1" applyAlignment="1">
      <alignment vertical="top" wrapText="1"/>
    </xf>
    <xf numFmtId="0" fontId="11" fillId="2" borderId="0" xfId="0" applyFont="1" applyFill="1" applyAlignment="1">
      <alignment vertical="top"/>
    </xf>
    <xf numFmtId="0" fontId="11" fillId="3" borderId="0" xfId="0" applyFont="1" applyFill="1" applyAlignment="1">
      <alignment vertical="top" wrapText="1"/>
    </xf>
    <xf numFmtId="0" fontId="8" fillId="2" borderId="0" xfId="0" applyFont="1" applyFill="1"/>
    <xf numFmtId="0" fontId="9" fillId="2" borderId="0" xfId="0" applyFont="1" applyFill="1"/>
    <xf numFmtId="3" fontId="9" fillId="2" borderId="0" xfId="0" applyNumberFormat="1" applyFont="1" applyFill="1" applyAlignment="1">
      <alignment horizontal="right" vertical="center" indent="3"/>
    </xf>
    <xf numFmtId="0" fontId="5" fillId="3" borderId="11" xfId="0" applyFont="1" applyFill="1" applyBorder="1" applyAlignment="1">
      <alignment horizontal="left" wrapText="1"/>
    </xf>
    <xf numFmtId="0" fontId="5" fillId="3" borderId="11" xfId="0" applyFont="1" applyFill="1" applyBorder="1" applyAlignment="1">
      <alignment horizontal="right"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167" fontId="6" fillId="3" borderId="0" xfId="0" applyNumberFormat="1" applyFont="1" applyFill="1" applyAlignment="1">
      <alignment horizontal="right" vertical="top"/>
    </xf>
    <xf numFmtId="167" fontId="45" fillId="3" borderId="0" xfId="0" applyNumberFormat="1" applyFont="1" applyFill="1" applyAlignment="1">
      <alignment horizontal="right" vertical="top"/>
    </xf>
    <xf numFmtId="0" fontId="5" fillId="3" borderId="11" xfId="0" applyFont="1" applyFill="1" applyBorder="1"/>
    <xf numFmtId="0" fontId="9" fillId="3" borderId="11" xfId="0" applyFont="1" applyFill="1" applyBorder="1" applyAlignment="1">
      <alignment horizontal="left" wrapText="1"/>
    </xf>
    <xf numFmtId="0" fontId="8" fillId="3" borderId="0" xfId="0" applyFont="1" applyFill="1" applyAlignment="1">
      <alignment wrapText="1"/>
    </xf>
    <xf numFmtId="0" fontId="9" fillId="3" borderId="11" xfId="0" applyFont="1" applyFill="1" applyBorder="1" applyAlignment="1">
      <alignment wrapText="1"/>
    </xf>
    <xf numFmtId="0" fontId="5" fillId="3" borderId="11" xfId="0" applyFont="1" applyFill="1" applyBorder="1" applyAlignment="1">
      <alignment horizontal="center" wrapText="1"/>
    </xf>
    <xf numFmtId="0" fontId="9" fillId="3" borderId="11" xfId="0" applyFont="1" applyFill="1" applyBorder="1" applyAlignment="1">
      <alignment horizontal="center" wrapText="1"/>
    </xf>
    <xf numFmtId="9" fontId="9" fillId="3" borderId="11" xfId="2" applyFont="1" applyFill="1" applyBorder="1" applyAlignment="1">
      <alignment horizontal="center" wrapText="1"/>
    </xf>
    <xf numFmtId="0" fontId="36" fillId="3" borderId="11" xfId="0" applyFont="1" applyFill="1" applyBorder="1" applyAlignment="1">
      <alignment horizontal="center" wrapText="1"/>
    </xf>
    <xf numFmtId="0" fontId="9" fillId="3" borderId="1" xfId="0" applyFont="1" applyFill="1" applyBorder="1" applyAlignment="1">
      <alignment horizontal="left"/>
    </xf>
    <xf numFmtId="3" fontId="9" fillId="3" borderId="1" xfId="0" applyNumberFormat="1" applyFont="1" applyFill="1" applyBorder="1" applyAlignment="1" applyProtection="1">
      <alignment horizontal="center"/>
      <protection locked="0"/>
    </xf>
    <xf numFmtId="3" fontId="7" fillId="3" borderId="1" xfId="0" applyNumberFormat="1" applyFont="1" applyFill="1" applyBorder="1" applyAlignment="1" applyProtection="1">
      <alignment horizontal="center"/>
      <protection locked="0"/>
    </xf>
    <xf numFmtId="9" fontId="7" fillId="3" borderId="1" xfId="2" applyFont="1" applyFill="1" applyBorder="1" applyAlignment="1" applyProtection="1">
      <alignment horizontal="center"/>
      <protection locked="0"/>
    </xf>
    <xf numFmtId="3" fontId="9" fillId="3" borderId="1" xfId="0" applyNumberFormat="1" applyFont="1" applyFill="1" applyBorder="1" applyAlignment="1">
      <alignment horizontal="center"/>
    </xf>
    <xf numFmtId="1" fontId="9" fillId="3" borderId="1" xfId="0" applyNumberFormat="1" applyFont="1" applyFill="1" applyBorder="1" applyAlignment="1">
      <alignment horizontal="center"/>
    </xf>
    <xf numFmtId="0" fontId="5" fillId="2" borderId="11" xfId="0" applyFont="1" applyFill="1" applyBorder="1" applyAlignment="1">
      <alignment horizontal="left" wrapText="1"/>
    </xf>
    <xf numFmtId="0" fontId="5" fillId="2" borderId="11" xfId="0" applyFont="1" applyFill="1" applyBorder="1" applyAlignment="1">
      <alignment horizontal="right" wrapText="1"/>
    </xf>
    <xf numFmtId="166" fontId="6" fillId="2" borderId="0" xfId="0" applyNumberFormat="1" applyFont="1" applyFill="1" applyAlignment="1">
      <alignment horizontal="right"/>
    </xf>
    <xf numFmtId="0" fontId="8" fillId="0" borderId="1" xfId="0" applyFont="1" applyBorder="1" applyAlignment="1">
      <alignment horizontal="left"/>
    </xf>
    <xf numFmtId="0" fontId="9" fillId="0" borderId="1" xfId="0" applyFont="1" applyBorder="1" applyAlignment="1">
      <alignment horizontal="left"/>
    </xf>
    <xf numFmtId="0" fontId="9" fillId="0" borderId="0" xfId="0" applyFont="1" applyAlignment="1">
      <alignment horizontal="left"/>
    </xf>
    <xf numFmtId="0" fontId="7" fillId="0" borderId="14" xfId="0" applyFont="1" applyBorder="1" applyAlignment="1">
      <alignment horizontal="left" vertical="top"/>
    </xf>
    <xf numFmtId="0" fontId="9" fillId="2" borderId="11" xfId="0" applyFont="1" applyFill="1" applyBorder="1" applyAlignment="1">
      <alignment horizontal="left" wrapText="1"/>
    </xf>
    <xf numFmtId="0" fontId="9" fillId="2" borderId="11" xfId="0" applyFont="1" applyFill="1" applyBorder="1" applyAlignment="1">
      <alignment horizontal="center" wrapText="1"/>
    </xf>
    <xf numFmtId="3" fontId="9" fillId="2" borderId="0" xfId="0" applyNumberFormat="1" applyFont="1" applyFill="1" applyAlignment="1">
      <alignment horizontal="right" vertical="center" indent="5"/>
    </xf>
    <xf numFmtId="0" fontId="8" fillId="3" borderId="11" xfId="0" applyFont="1" applyFill="1" applyBorder="1" applyAlignment="1">
      <alignment horizontal="left" wrapText="1"/>
    </xf>
  </cellXfs>
  <cellStyles count="16">
    <cellStyle name="Currency 2" xfId="1" xr:uid="{00000000-0005-0000-0000-000000000000}"/>
    <cellStyle name="Followed Hyperlink" xfId="13" builtinId="9" hidden="1"/>
    <cellStyle name="Followed Hyperlink" xfId="15" builtinId="9" hidden="1"/>
    <cellStyle name="Followed Hyperlink" xfId="9" builtinId="9" hidden="1"/>
    <cellStyle name="Followed Hyperlink" xfId="11" builtinId="9" hidden="1"/>
    <cellStyle name="Followed Hyperlink" xfId="7" builtinId="9" hidden="1"/>
    <cellStyle name="Followed Hyperlink" xfId="5" builtinId="9" hidden="1"/>
    <cellStyle name="Hyperlink" xfId="10" builtinId="8" hidden="1"/>
    <cellStyle name="Hyperlink" xfId="12" builtinId="8" hidden="1"/>
    <cellStyle name="Hyperlink" xfId="14" builtinId="8" hidden="1"/>
    <cellStyle name="Hyperlink" xfId="6" builtinId="8" hidden="1"/>
    <cellStyle name="Hyperlink" xfId="8" builtinId="8" hidden="1"/>
    <cellStyle name="Hyperlink" xfId="4" builtinId="8" hidden="1"/>
    <cellStyle name="Normal" xfId="0" builtinId="0"/>
    <cellStyle name="Percent" xfId="2" builtinId="5"/>
    <cellStyle name="Percent 2" xfId="3" xr:uid="{00000000-0005-0000-0000-00000F000000}"/>
  </cellStyles>
  <dxfs count="109">
    <dxf>
      <font>
        <b val="0"/>
        <i val="0"/>
        <strike val="0"/>
        <condense val="0"/>
        <extend val="0"/>
        <outline val="0"/>
        <shadow val="0"/>
        <u val="none"/>
        <vertAlign val="baseline"/>
        <sz val="11"/>
        <color indexed="8"/>
        <name val="Times New Roman"/>
        <family val="1"/>
        <scheme val="none"/>
      </font>
      <fill>
        <patternFill patternType="solid">
          <fgColor indexed="64"/>
          <bgColor indexed="9"/>
        </patternFill>
      </fill>
    </dxf>
    <dxf>
      <border outline="0">
        <top style="thin">
          <color auto="1"/>
        </top>
        <bottom style="thin">
          <color indexed="64"/>
        </bottom>
      </border>
    </dxf>
    <dxf>
      <border outline="0">
        <bottom style="thin">
          <color indexed="64"/>
        </bottom>
      </border>
    </dxf>
    <dxf>
      <font>
        <b val="0"/>
        <i val="0"/>
        <strike val="0"/>
        <condense val="0"/>
        <extend val="0"/>
        <outline val="0"/>
        <shadow val="0"/>
        <u val="none"/>
        <vertAlign val="baseline"/>
        <sz val="11"/>
        <color theme="1"/>
        <name val="Times New Roman"/>
        <family val="1"/>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Times New Roman"/>
        <family val="1"/>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11"/>
        <color rgb="FFB34700"/>
        <name val="Times New Roman"/>
        <family val="1"/>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rgb="FFB34700"/>
        <name val="Times New Roman"/>
        <family val="1"/>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11"/>
        <color auto="1"/>
        <name val="Times New Roman"/>
        <family val="1"/>
        <scheme val="none"/>
      </font>
      <fill>
        <patternFill patternType="solid">
          <fgColor indexed="64"/>
          <bgColor indexed="9"/>
        </patternFill>
      </fill>
      <alignment horizontal="left" vertical="bottom" textRotation="0" wrapText="0" indent="0" justifyLastLine="0" shrinkToFit="0" readingOrder="0"/>
    </dxf>
    <dxf>
      <border outline="0">
        <top style="thin">
          <color auto="1"/>
        </top>
        <bottom style="thin">
          <color indexed="64"/>
        </bottom>
      </border>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indexed="8"/>
        <name val="Times New Roman"/>
        <family val="1"/>
        <scheme val="none"/>
      </font>
      <fill>
        <patternFill patternType="solid">
          <fgColor indexed="64"/>
          <bgColor theme="0"/>
        </patternFill>
      </fill>
    </dxf>
    <dxf>
      <border outline="0">
        <top style="thin">
          <color auto="1"/>
        </top>
        <bottom style="thin">
          <color indexed="64"/>
        </bottom>
      </border>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top" textRotation="0" wrapText="0" indent="0" justifyLastLine="0" shrinkToFit="0" readingOrder="0"/>
    </dxf>
    <dxf>
      <font>
        <b val="0"/>
        <i val="0"/>
        <strike val="0"/>
        <condense val="0"/>
        <extend val="0"/>
        <outline val="0"/>
        <shadow val="0"/>
        <u val="none"/>
        <vertAlign val="baseline"/>
        <sz val="11"/>
        <color rgb="FFB34700"/>
        <name val="Times New Roman"/>
        <family val="1"/>
        <scheme val="none"/>
      </font>
      <numFmt numFmtId="3" formatCode="#,##0"/>
      <fill>
        <patternFill patternType="solid">
          <fgColor indexed="64"/>
          <bgColor indexed="9"/>
        </patternFill>
      </fill>
      <alignment horizontal="right" vertical="top" textRotation="0" wrapText="0" indent="0" justifyLastLine="0" shrinkToFit="0" readingOrder="0"/>
      <protection locked="0" hidden="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top"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top" textRotation="0" wrapText="0" indent="0" justifyLastLine="0" shrinkToFit="0" readingOrder="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top" textRotation="0" wrapText="0" indent="0" justifyLastLine="0" shrinkToFit="0" readingOrder="0"/>
    </dxf>
    <dxf>
      <border outline="0">
        <top style="thin">
          <color auto="1"/>
        </top>
        <bottom style="thin">
          <color indexed="64"/>
        </bottom>
      </border>
    </dxf>
    <dxf>
      <font>
        <b val="0"/>
        <i val="0"/>
        <strike val="0"/>
        <condense val="0"/>
        <extend val="0"/>
        <outline val="0"/>
        <shadow val="0"/>
        <u val="none"/>
        <vertAlign val="baseline"/>
        <sz val="11"/>
        <color indexed="8"/>
        <name val="Times New Roman"/>
        <family val="1"/>
        <scheme val="none"/>
      </font>
      <fill>
        <patternFill patternType="solid">
          <fgColor indexed="64"/>
          <bgColor indexed="9"/>
        </patternFill>
      </fill>
      <alignment horizontal="righ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border outline="0">
        <top style="thin">
          <color auto="1"/>
        </top>
        <bottom style="thin">
          <color indexed="64"/>
        </bottom>
      </border>
    </dxf>
    <dxf>
      <font>
        <b val="0"/>
        <i val="0"/>
        <strike val="0"/>
        <condense val="0"/>
        <extend val="0"/>
        <outline val="0"/>
        <shadow val="0"/>
        <u val="none"/>
        <vertAlign val="baseline"/>
        <sz val="11"/>
        <color auto="1"/>
        <name val="Times New Roman"/>
        <family val="1"/>
        <scheme val="none"/>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center" textRotation="0" wrapText="0" indent="3" justifyLastLine="0" shrinkToFit="0" readingOrder="0"/>
      <border diagonalUp="0" diagonalDown="0">
        <left/>
        <right/>
        <top/>
        <bottom style="double">
          <color auto="1"/>
        </bottom>
        <vertical/>
        <horizontal/>
      </border>
    </dxf>
    <dxf>
      <font>
        <b val="0"/>
        <i val="0"/>
        <strike val="0"/>
        <condense val="0"/>
        <extend val="0"/>
        <outline val="0"/>
        <shadow val="0"/>
        <u val="none"/>
        <vertAlign val="baseline"/>
        <sz val="11"/>
        <color rgb="FFB34700"/>
        <name val="Times New Roman"/>
        <family val="1"/>
        <scheme val="none"/>
      </font>
      <numFmt numFmtId="3" formatCode="#,##0"/>
      <fill>
        <patternFill patternType="solid">
          <fgColor indexed="64"/>
          <bgColor indexed="9"/>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B34700"/>
        <name val="Times New Roman"/>
        <family val="1"/>
        <scheme val="none"/>
      </font>
      <numFmt numFmtId="3" formatCode="#,##0"/>
      <fill>
        <patternFill patternType="solid">
          <fgColor indexed="64"/>
          <bgColor indexed="9"/>
        </patternFill>
      </fill>
      <alignment horizontal="right" vertical="center" textRotation="0" wrapText="0" indent="3" justifyLastLine="0" shrinkToFit="0" readingOrder="0"/>
      <protection locked="0" hidden="0"/>
    </dxf>
    <dxf>
      <font>
        <b val="0"/>
        <i val="0"/>
        <strike val="0"/>
        <condense val="0"/>
        <extend val="0"/>
        <outline val="0"/>
        <shadow val="0"/>
        <u val="none"/>
        <vertAlign val="baseline"/>
        <sz val="11"/>
        <color rgb="FFB34700"/>
        <name val="Times New Roman"/>
        <family val="1"/>
        <scheme val="none"/>
      </font>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11"/>
        <color rgb="FFB34700"/>
        <name val="Times New Roman"/>
        <family val="1"/>
        <scheme val="none"/>
      </font>
      <fill>
        <patternFill patternType="solid">
          <fgColor indexed="64"/>
          <bgColor indexed="9"/>
        </patternFill>
      </fill>
      <alignment horizontal="left" vertical="bottom" textRotation="0" wrapText="0" indent="0" justifyLastLine="0" shrinkToFit="0" readingOrder="0"/>
    </dxf>
    <dxf>
      <border outline="0">
        <top style="thin">
          <color auto="1"/>
        </top>
        <bottom style="thin">
          <color indexed="64"/>
        </bottom>
      </border>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indexed="9"/>
        </patternFill>
      </fill>
      <alignment horizontal="center" vertical="bottom" textRotation="0" wrapText="1" indent="0" justifyLastLine="0" shrinkToFit="0" readingOrder="0"/>
    </dxf>
    <dxf>
      <font>
        <b/>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font>
        <b/>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font>
        <b/>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font>
        <b/>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font>
        <b/>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border outline="0">
        <top style="thin">
          <color indexed="64"/>
        </top>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indexed="9"/>
        </patternFill>
      </fill>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1"/>
        <color rgb="FFB34700"/>
        <name val="Times New Roman"/>
        <family val="1"/>
        <scheme val="none"/>
      </font>
      <numFmt numFmtId="166" formatCode="&quot;$&quot;#,##0.0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Times New Roman"/>
        <family val="1"/>
        <scheme val="none"/>
      </font>
      <fill>
        <patternFill patternType="solid">
          <fgColor indexed="64"/>
          <bgColor indexed="9"/>
        </patternFill>
      </fill>
      <alignment horizontal="general" vertical="bottom" textRotation="0" wrapText="0" indent="0" justifyLastLine="0" shrinkToFit="0" readingOrder="0"/>
    </dxf>
    <dxf>
      <border outline="0">
        <top style="thin">
          <color auto="1"/>
        </top>
        <bottom style="thin">
          <color indexed="64"/>
        </bottom>
      </border>
    </dxf>
    <dxf>
      <alignment vertical="bottom" textRotation="0" indent="0" justifyLastLine="0" readingOrder="0"/>
    </dxf>
    <dxf>
      <border outline="0">
        <bottom style="thin">
          <color indexed="64"/>
        </bottom>
      </border>
    </dxf>
    <dxf>
      <alignment vertical="top" textRotation="0" indent="0" justifyLastLine="0" shrinkToFit="0" readingOrder="0"/>
    </dxf>
    <dxf>
      <font>
        <b val="0"/>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166"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general" vertical="bottom" textRotation="0" wrapText="0" indent="0" justifyLastLine="0" shrinkToFit="0" readingOrder="0"/>
    </dxf>
    <dxf>
      <border outline="0">
        <top style="thin">
          <color auto="1"/>
        </top>
        <bottom style="thin">
          <color indexed="64"/>
        </bottom>
      </border>
    </dxf>
    <dxf>
      <alignment vertical="bottom" textRotation="0" indent="0" justifyLastLine="0" readingOrder="0"/>
    </dxf>
    <dxf>
      <border outline="0">
        <bottom style="thin">
          <color indexed="64"/>
        </bottom>
      </border>
    </dxf>
    <dxf>
      <alignment vertical="top" textRotation="0" indent="0" justifyLastLine="0" shrinkToFit="0" readingOrder="0"/>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1"/>
        <color rgb="FFB34700"/>
        <name val="Times New Roman"/>
        <family val="1"/>
        <scheme val="none"/>
      </font>
      <fill>
        <patternFill patternType="solid">
          <fgColor indexed="64"/>
          <bgColor theme="0"/>
        </patternFill>
      </fill>
    </dxf>
    <dxf>
      <font>
        <b val="0"/>
        <i val="0"/>
        <strike val="0"/>
        <condense val="0"/>
        <extend val="0"/>
        <outline val="0"/>
        <shadow val="0"/>
        <u val="none"/>
        <vertAlign val="baseline"/>
        <sz val="11"/>
        <color theme="1"/>
        <name val="Times New Roman"/>
        <family val="1"/>
        <scheme val="none"/>
      </font>
      <fill>
        <patternFill patternType="solid">
          <fgColor indexed="64"/>
          <bgColor theme="0"/>
        </patternFill>
      </fill>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top" textRotation="0" wrapText="1" indent="0" justifyLastLine="0" shrinkToFit="0" readingOrder="0"/>
    </dxf>
    <dxf>
      <border outline="0">
        <top style="thin">
          <color auto="1"/>
        </top>
        <bottom style="thin">
          <color indexed="64"/>
        </bottom>
      </border>
    </dxf>
    <dxf>
      <border outline="0">
        <bottom style="thin">
          <color indexed="64"/>
        </bottom>
      </border>
    </dxf>
    <dxf>
      <font>
        <b val="0"/>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general" vertical="top" textRotation="0" wrapText="1" indent="0" justifyLastLine="0" shrinkToFit="0" readingOrder="0"/>
    </dxf>
    <dxf>
      <alignment vertical="top" textRotation="0" indent="0" justifyLastLine="0" shrinkToFit="0" readingOrder="0"/>
    </dxf>
    <dxf>
      <border outline="0">
        <top style="thin">
          <color auto="1"/>
        </top>
        <bottom style="thin">
          <color indexed="64"/>
        </bottom>
      </border>
    </dxf>
    <dxf>
      <alignment vertical="top" textRotation="0" indent="0" justifyLastLine="0" shrinkToFit="0" readingOrder="0"/>
    </dxf>
    <dxf>
      <border outline="0">
        <bottom style="thin">
          <color indexed="64"/>
        </bottom>
      </border>
    </dxf>
    <dxf>
      <font>
        <b val="0"/>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Times New Roman"/>
        <family val="1"/>
        <scheme val="none"/>
      </font>
      <alignment horizontal="left" vertical="top"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0" indent="0" justifyLastLine="0" shrinkToFit="0" readingOrder="0"/>
      <border diagonalUp="0" diagonalDown="0">
        <left style="thin">
          <color auto="1"/>
        </left>
        <right style="thin">
          <color auto="1"/>
        </right>
        <top/>
        <bottom style="thin">
          <color indexed="64"/>
        </bottom>
        <vertical/>
        <horizontal/>
      </border>
    </dxf>
    <dxf>
      <border outline="0">
        <top style="thin">
          <color indexed="64"/>
        </top>
        <bottom style="thin">
          <color indexed="64"/>
        </bottom>
      </border>
    </dxf>
    <dxf>
      <font>
        <b val="0"/>
        <i val="0"/>
        <strike val="0"/>
        <condense val="0"/>
        <extend val="0"/>
        <outline val="0"/>
        <shadow val="0"/>
        <u val="none"/>
        <vertAlign val="baseline"/>
        <sz val="11"/>
        <color auto="1"/>
        <name val="Times New Roman"/>
        <family val="1"/>
        <scheme val="none"/>
      </font>
      <alignment horizontal="right" vertical="top" textRotation="0" wrapText="0" indent="0" justifyLastLine="0" shrinkToFit="0" readingOrder="0"/>
    </dxf>
  </dxfs>
  <tableStyles count="0" defaultTableStyle="TableStyleMedium9" defaultPivotStyle="PivotStyleLight16"/>
  <colors>
    <mruColors>
      <color rgb="FFB34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3D4844-E743-471B-8B96-69386F3C98D1}" name="Instructions" displayName="Instructions" ref="A4:B8" totalsRowShown="0" headerRowDxfId="103" dataDxfId="101" headerRowBorderDxfId="102" tableBorderDxfId="100">
  <autoFilter ref="A4:B8" xr:uid="{BE3D4844-E743-471B-8B96-69386F3C98D1}">
    <filterColumn colId="0" hiddenButton="1"/>
    <filterColumn colId="1" hiddenButton="1"/>
  </autoFilter>
  <tableColumns count="2">
    <tableColumn id="1" xr3:uid="{2775ACB1-2471-4512-B148-86B1E1EF9687}" name="Steps" dataDxfId="99"/>
    <tableColumn id="2" xr3:uid="{346CCAE4-3BC6-4AA0-8E6C-B4160B1894E0}" name="Instruction" dataDxfId="98"/>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404EB0D-037D-4F4D-A72E-882FF0EAB4DE}" name="Depreciation" displayName="Depreciation" ref="A2:F10" totalsRowShown="0" headerRowDxfId="42" dataDxfId="40" headerRowBorderDxfId="41" tableBorderDxfId="39">
  <autoFilter ref="A2:F10" xr:uid="{E404EB0D-037D-4F4D-A72E-882FF0EAB4DE}">
    <filterColumn colId="0" hiddenButton="1"/>
    <filterColumn colId="1" hiddenButton="1"/>
    <filterColumn colId="2" hiddenButton="1"/>
    <filterColumn colId="3" hiddenButton="1"/>
    <filterColumn colId="4" hiddenButton="1"/>
    <filterColumn colId="5" hiddenButton="1"/>
  </autoFilter>
  <tableColumns count="6">
    <tableColumn id="1" xr3:uid="{F402E285-A237-4B33-8A12-55C77F98AFF4}" name="Capital Requirements "/>
    <tableColumn id="2" xr3:uid="{0544E103-00DB-47D9-9AB5-9806C0073656}" name="Total Purchase Price ($)" dataDxfId="38"/>
    <tableColumn id="3" xr3:uid="{102C9CFB-EE47-4173-AB90-482F8E1C2DB7}" name="Number of Acres" dataDxfId="37"/>
    <tableColumn id="4" xr3:uid="{DF624D14-95FA-45D1-B8D4-FF23623243C6}" name="Total Value Per Acre ($)" dataDxfId="36"/>
    <tableColumn id="5" xr3:uid="{2673C352-2045-48E1-9E71-4D42527BB0BA}" name="Years of Useful Life" dataDxfId="35"/>
    <tableColumn id="6" xr3:uid="{252EE61A-3004-475C-B0F3-CF85C63FF501}" name="Depreciation Cost Per Acre ($/yr)A" dataDxfId="34"/>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117BECB-5DE4-4CF9-8AA1-D5209059F95E}" name="Establishment" displayName="Establishment" ref="A2:G111" totalsRowShown="0" headerRowDxfId="33" dataDxfId="31" headerRowBorderDxfId="32" tableBorderDxfId="30">
  <autoFilter ref="A2:G111" xr:uid="{2117BECB-5DE4-4CF9-8AA1-D5209059F95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3835D7F-B916-418B-9A9A-F77BF33AFF02}" name="Year  " dataDxfId="29"/>
    <tableColumn id="2" xr3:uid="{B6DBCC69-3CAE-4D94-A512-A8D06F2CFE75}" name="Description" dataDxfId="28"/>
    <tableColumn id="3" xr3:uid="{24B98942-71BC-4F6D-A909-5ADCF0ABA3A1}" name="Cost per Unit ($)" dataDxfId="27"/>
    <tableColumn id="4" xr3:uid="{955BC0DC-61C6-43EF-BB50-EC83EA89F32B}" name="Units per Acre" dataDxfId="26">
      <calculatedColumnFormula>'App A9. Data for tables'!$G$7</calculatedColumnFormula>
    </tableColumn>
    <tableColumn id="5" xr3:uid="{737BDF62-E53E-4CF8-8D6D-621F88CE632C}" name="Cost per Acre ($)" dataDxfId="25">
      <calculatedColumnFormula>C3*D3</calculatedColumnFormula>
    </tableColumn>
    <tableColumn id="6" xr3:uid="{4AA51E5D-B844-4517-8A43-0988372CE393}" name="Number of Acres" dataDxfId="24">
      <calculatedColumnFormula>'App A9. Data for tables'!$G$78</calculatedColumnFormula>
    </tableColumn>
    <tableColumn id="7" xr3:uid="{9F0AB20F-665B-41B5-9662-60635DC8616B}" name="Total Cost for Block ($)" dataDxfId="23">
      <calculatedColumnFormula>E3*F3</calculatedColumnFormula>
    </tableColumn>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B32D463-3200-4B6E-B9AE-B43B3DCDC6F1}" name="Full_production" displayName="Full_production" ref="A2:F25" totalsRowShown="0" headerRowDxfId="22" dataDxfId="20" headerRowBorderDxfId="21" tableBorderDxfId="19">
  <autoFilter ref="A2:F25" xr:uid="{1B32D463-3200-4B6E-B9AE-B43B3DCDC6F1}">
    <filterColumn colId="0" hiddenButton="1"/>
    <filterColumn colId="1" hiddenButton="1"/>
    <filterColumn colId="2" hiddenButton="1"/>
    <filterColumn colId="3" hiddenButton="1"/>
    <filterColumn colId="4" hiddenButton="1"/>
    <filterColumn colId="5" hiddenButton="1"/>
  </autoFilter>
  <tableColumns count="6">
    <tableColumn id="1" xr3:uid="{E2F52671-DCD9-42D6-94BA-2CBFFCD92499}" name="Description" dataDxfId="18"/>
    <tableColumn id="2" xr3:uid="{DF65AD80-EC15-441B-9544-B9EA7E53A44C}" name="Cost per Unit ($)" dataDxfId="17"/>
    <tableColumn id="3" xr3:uid="{540C895B-EB7F-4119-8CD2-97CC16F31F69}" name="Units per Acre" dataDxfId="16">
      <calculatedColumnFormula>'App A9. Data for tables'!$H$7</calculatedColumnFormula>
    </tableColumn>
    <tableColumn id="4" xr3:uid="{A685D77A-97C8-4306-B38B-E4335BA173E0}" name="Cost per Acre ($)" dataDxfId="15">
      <calculatedColumnFormula>B3*C3</calculatedColumnFormula>
    </tableColumn>
    <tableColumn id="5" xr3:uid="{0716AD87-FBB3-4E3A-B273-284CCA52CFB8}" name="Number of Acres" dataDxfId="14">
      <calculatedColumnFormula>'App A9. Data for tables'!$H$78</calculatedColumnFormula>
    </tableColumn>
    <tableColumn id="6" xr3:uid="{6D2077E2-9D50-436C-9692-0EDDADCDEB9E}" name="Total Cost for Block ($)" dataDxfId="13">
      <calculatedColumnFormula>D3*E3</calculatedColumnFormula>
    </tableColumn>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67D5420-B150-43DB-A106-E5DF25BCE23C}" name="Salvage_value" displayName="Salvage_value" ref="A2:G18" totalsRowShown="0" headerRowDxfId="12" headerRowBorderDxfId="11" tableBorderDxfId="10">
  <autoFilter ref="A2:G18" xr:uid="{F67D5420-B150-43DB-A106-E5DF25BCE23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D10BDC1-60B4-4B86-B5DB-9A352E22F6D1}" name="Machine/Equipment/Building (from Appendix Table 2)" dataDxfId="9"/>
    <tableColumn id="2" xr3:uid="{04C98076-1B13-403C-B612-692D96B33B8E}" name="Purchase Price (from Appendix Table 2)D" dataDxfId="8"/>
    <tableColumn id="3" xr3:uid="{7EE49ACA-52F6-4CBE-86CB-63D7FCC3A4E5}" name="Expected useful life (years)E" dataDxfId="7"/>
    <tableColumn id="4" xr3:uid="{6B2CC50C-2B8D-4876-8944-6955BF16AC60}" name="Salvage Value As % of Current Mkt ValueE" dataDxfId="6" dataCellStyle="Percent"/>
    <tableColumn id="5" xr3:uid="{CD213D4E-CAF0-4D91-B3F2-072F57EF0C5A}" name="Salvage Value ($)F" dataDxfId="5"/>
    <tableColumn id="6" xr3:uid="{C1BFEFC0-2B9D-4A9D-9993-4C0DCD4DB2F8}" name="Annual Depreciation Cost ($)G" dataDxfId="4"/>
    <tableColumn id="7" xr3:uid="{3D710FED-FEE1-448E-9056-FFF3C10B1AE5}" name="Annual Depreciation Cost per Acre ($)H" dataDxfId="3">
      <calculatedColumnFormula>F3/'App A9. Data for tables'!$H$80</calculatedColumnFormula>
    </tableColumn>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67C67BC-F0A1-4439-B041-C29836DCA25B}" name="Amortization" displayName="Amortization" ref="A2:B7" totalsRowShown="0" headerRowBorderDxfId="2" tableBorderDxfId="1">
  <autoFilter ref="A2:B7" xr:uid="{A67C67BC-F0A1-4439-B041-C29836DCA25B}">
    <filterColumn colId="0" hiddenButton="1"/>
    <filterColumn colId="1" hiddenButton="1"/>
  </autoFilter>
  <tableColumns count="2">
    <tableColumn id="1" xr3:uid="{431D08D6-CDEE-4AE2-ACEF-D19E5410F322}" name="Variable" dataDxfId="0"/>
    <tableColumn id="2" xr3:uid="{A3FBC016-8A19-4551-BD3B-DB0510408AB6}" name="Value"/>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7066910-7D01-42C4-8418-DA3A3BF2A262}" name="All_Data" displayName="All_Data" ref="A2:I82" totalsRowShown="0" headerRowDxfId="108" tableBorderDxfId="107">
  <autoFilter ref="A2:I82" xr:uid="{37066910-7D01-42C4-8418-DA3A3BF2A26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2D229DA-332D-4593-86F5-55D33BDA9032}" name="Variables" dataDxfId="106"/>
    <tableColumn id="2" xr3:uid="{CA1080CE-EA88-48F0-9358-2E0B92716BEA}" name="Description" dataDxfId="105"/>
    <tableColumn id="3" xr3:uid="{780F59E8-1443-4B40-B49B-E3F3FE31C409}" name="Year 1"/>
    <tableColumn id="4" xr3:uid="{67D190BE-62B0-42B4-8C28-5665B0090606}" name="Year 2">
      <calculatedColumnFormula>C3</calculatedColumnFormula>
    </tableColumn>
    <tableColumn id="5" xr3:uid="{8110AF34-320F-4054-BE7B-95F34E8E0871}" name="Year 3">
      <calculatedColumnFormula>D3</calculatedColumnFormula>
    </tableColumn>
    <tableColumn id="6" xr3:uid="{080F1305-0137-46A6-9DA7-CB6C20C53694}" name="Year 4">
      <calculatedColumnFormula>E3</calculatedColumnFormula>
    </tableColumn>
    <tableColumn id="7" xr3:uid="{FEFB5103-EC1D-4422-B8CE-C8B25BD5EC27}" name="Year 5">
      <calculatedColumnFormula>F3</calculatedColumnFormula>
    </tableColumn>
    <tableColumn id="8" xr3:uid="{0A696593-D78A-4C1B-96CD-2CDC7C8A3F5E}" name="Year 6 to 20 (Full Production)">
      <calculatedColumnFormula>G3</calculatedColumnFormula>
    </tableColumn>
    <tableColumn id="9" xr3:uid="{E26EEC67-825D-46F9-9022-2569F781630C}" name="Notes" dataDxfId="10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AA086F-C9D4-4074-88F4-634C695F768A}" name="Assumptions" displayName="Assumptions" ref="A10:B20" totalsRowShown="0" headerRowDxfId="97" headerRowBorderDxfId="96" tableBorderDxfId="95">
  <autoFilter ref="A10:B20" xr:uid="{3DAA086F-C9D4-4074-88F4-634C695F768A}">
    <filterColumn colId="0" hiddenButton="1"/>
    <filterColumn colId="1" hiddenButton="1"/>
  </autoFilter>
  <tableColumns count="2">
    <tableColumn id="1" xr3:uid="{E4690693-A900-486A-8948-CA04A127E0CA}" name="Item " dataDxfId="94"/>
    <tableColumn id="2" xr3:uid="{9B56BA5A-C924-4BB1-99CB-F5FC091B1C7A}" name="Assumption" dataDxfId="9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0DC95A-112B-447B-B7F7-2611A65A05D0}" name="Specification" displayName="Specification" ref="A2:B10" totalsRowShown="0" headerRowDxfId="92" headerRowBorderDxfId="91" tableBorderDxfId="90">
  <tableColumns count="2">
    <tableColumn id="1" xr3:uid="{BBF21A83-33C5-427E-9BEA-37C0E80E6A41}" name="Block Specification" dataDxfId="89"/>
    <tableColumn id="2" xr3:uid="{904C85A4-550B-45CE-A8DC-EF9E5C3A3611}" name="Description" dataDxfId="8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130CF17-117A-4600-97ED-7002493A946E}" name="Early_season_budget" displayName="Early_season_budget" ref="A2:H65" totalsRowShown="0" headerRowDxfId="87" headerRowBorderDxfId="86" tableBorderDxfId="85">
  <autoFilter ref="A2:H65" xr:uid="{F130CF17-117A-4600-97ED-7002493A946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0DD697F-8318-4A2B-8459-2B0674D05A7C}" name="Return or Cost"/>
    <tableColumn id="2" xr3:uid="{AF136FE9-1420-46E7-8E59-9077CD8AF441}" name="Description or Activity"/>
    <tableColumn id="3" xr3:uid="{8E63E4CF-97CD-409C-ABE2-287018C2771A}" name=" Year 1"/>
    <tableColumn id="4" xr3:uid="{A47A7EED-0C72-4E5B-8EDE-E2B17C5518B1}" name="Year 2"/>
    <tableColumn id="5" xr3:uid="{D8D08AC2-8B96-492D-B465-E2C163DFE928}" name="Year 3"/>
    <tableColumn id="6" xr3:uid="{4E62D8A6-C7DB-42B4-AC8A-9B92EAB02211}" name="Year 4"/>
    <tableColumn id="7" xr3:uid="{A5953F1D-CF0D-4326-9BC3-A25193E54A53}" name="Year 5"/>
    <tableColumn id="8" xr3:uid="{05AA9418-542D-497A-B98D-1CD637A130FD}" name="Years 6 to 20 (Full Production, Annual Average)"/>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13EB06-7E12-4B33-8ABD-3AA1CF6CBD39}" name="Breakeven" displayName="Breakeven" ref="A2:E18" totalsRowShown="0" headerRowDxfId="84" dataDxfId="82" headerRowBorderDxfId="83" tableBorderDxfId="81">
  <autoFilter ref="A2:E18" xr:uid="{F313EB06-7E12-4B33-8ABD-3AA1CF6CBD39}">
    <filterColumn colId="0" hiddenButton="1"/>
    <filterColumn colId="1" hiddenButton="1"/>
    <filterColumn colId="2" hiddenButton="1"/>
    <filterColumn colId="3" hiddenButton="1"/>
    <filterColumn colId="4" hiddenButton="1"/>
  </autoFilter>
  <tableColumns count="5">
    <tableColumn id="1" xr3:uid="{AA9583CF-0E8B-480F-B678-952CAB4329B1}" name="Levels of Enterprise Costs" dataDxfId="80"/>
    <tableColumn id="2" xr3:uid="{2744BAB6-E9BA-4B94-BDF5-F94F727040F6}" name="Sweet Cherry Size" dataDxfId="79"/>
    <tableColumn id="3" xr3:uid="{98936BA1-1ACC-4315-B18A-8DF974716E44}" name="Proportional Cost by Size ($/acre)" dataDxfId="78"/>
    <tableColumn id="4" xr3:uid="{DFBA158C-D5FF-425B-AFC4-20B9D8822763}" name="Break-even ReturnA by Grade ($ per lb)" dataDxfId="77"/>
    <tableColumn id="5" xr3:uid="{245C5EAF-C1A6-42D3-970A-A891B895348F}" name="Notes" dataDxfId="7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27A474B-5EBD-4BBB-9A49-D5398049C5D6}" name="Breakeven_values" displayName="Breakeven_values" ref="M2:N17" totalsRowShown="0" headerRowDxfId="75" dataDxfId="73" headerRowBorderDxfId="74" tableBorderDxfId="72">
  <autoFilter ref="M2:N17" xr:uid="{827A474B-5EBD-4BBB-9A49-D5398049C5D6}">
    <filterColumn colId="0" hiddenButton="1"/>
    <filterColumn colId="1" hiddenButton="1"/>
  </autoFilter>
  <tableColumns count="2">
    <tableColumn id="1" xr3:uid="{5A208AF9-4248-471B-BB19-4ABBBC909312}" name="Variables" dataDxfId="71"/>
    <tableColumn id="2" xr3:uid="{18C94EB0-CAC4-4270-9E9C-9CB06CABC498}" name="Value" dataDxfId="7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6EA36E8-24E0-4DA6-9476-3E8FC1ED65A0}" name="Capital_requirements" displayName="Capital_requirements" ref="A2:G14" totalsRowShown="0" headerRowDxfId="69" dataDxfId="67" headerRowBorderDxfId="68" tableBorderDxfId="66">
  <tableColumns count="7">
    <tableColumn id="1" xr3:uid="{54F4D795-AA29-4E58-BAA0-01D61251CB00}" name="Requirements and Receipts"/>
    <tableColumn id="2" xr3:uid="{51CFDA4D-2252-49BB-8E63-71D3A87308C3}" name=" Year 1" dataDxfId="65"/>
    <tableColumn id="3" xr3:uid="{61FE3256-1F19-4818-B62C-BF28705ECEE9}" name="Year 2" dataDxfId="64"/>
    <tableColumn id="4" xr3:uid="{C4B523BE-43AB-4AD2-A495-584742240F5A}" name="Year 3" dataDxfId="63"/>
    <tableColumn id="5" xr3:uid="{5D7C7BF0-CB7A-4B2C-A0F8-C9C4BA67C510}" name="Year 4" dataDxfId="62"/>
    <tableColumn id="6" xr3:uid="{C74482A4-2911-46CF-9707-6D4DC00CD25F}" name="Year 5" dataDxfId="61"/>
    <tableColumn id="7" xr3:uid="{004CFFA6-4BF4-41D6-A659-63047D79BB3B}" name="Years 6 to 25 (Full Production, Annual Average)" dataDxfId="60"/>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9045721-60A0-49B6-B683-27A8EA6F425C}" name="Machinery" displayName="Machinery" ref="A2:E18" totalsRowShown="0" headerRowDxfId="59" headerRowBorderDxfId="58" tableBorderDxfId="57">
  <autoFilter ref="A2:E18" xr:uid="{B9045721-60A0-49B6-B683-27A8EA6F425C}">
    <filterColumn colId="0" hiddenButton="1"/>
    <filterColumn colId="1" hiddenButton="1"/>
    <filterColumn colId="2" hiddenButton="1"/>
    <filterColumn colId="3" hiddenButton="1"/>
    <filterColumn colId="4" hiddenButton="1"/>
  </autoFilter>
  <tableColumns count="5">
    <tableColumn id="1" xr3:uid="{45BF70A0-947D-4CAE-B828-35D967FE9445}" name="Requirements" dataDxfId="56"/>
    <tableColumn id="2" xr3:uid="{5C27A2CC-3A37-421B-A968-B6C094C4F62E}" name="Description" dataDxfId="55"/>
    <tableColumn id="3" xr3:uid="{05E0358A-1863-44B9-ACEA-98E4CA70A768}" name="Purchase Price ($)A" dataDxfId="54"/>
    <tableColumn id="4" xr3:uid="{BDCF4880-A090-4067-89D0-41172FC15575}" name="Number of Units" dataDxfId="53"/>
    <tableColumn id="5" xr3:uid="{F7245B47-2240-4B4D-B23C-F8D89CDEE5BD}" name="Total Cost ($)" dataDxfId="5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9D9328A-00B2-492F-8660-FD4AD5099316}" name="Interest" displayName="Interest" ref="A2:F11" totalsRowShown="0" headerRowDxfId="51" dataDxfId="49" headerRowBorderDxfId="50" tableBorderDxfId="48">
  <autoFilter ref="A2:F11" xr:uid="{69D9328A-00B2-492F-8660-FD4AD5099316}">
    <filterColumn colId="0" hiddenButton="1"/>
    <filterColumn colId="1" hiddenButton="1"/>
    <filterColumn colId="2" hiddenButton="1"/>
    <filterColumn colId="3" hiddenButton="1"/>
    <filterColumn colId="4" hiddenButton="1"/>
    <filterColumn colId="5" hiddenButton="1"/>
  </autoFilter>
  <tableColumns count="6">
    <tableColumn id="1" xr3:uid="{6968D067-FB34-43EB-81BC-65DEAD7BF288}" name="Capital Requirements "/>
    <tableColumn id="2" xr3:uid="{B35C1F5C-F891-4767-AF42-D6BEB41B90E1}" name="Total Purchase Price ($)" dataDxfId="47"/>
    <tableColumn id="3" xr3:uid="{DF2E7F50-FD43-4D4B-8C96-8912D274C90A}" name="Salvage Value ($)A" dataDxfId="46"/>
    <tableColumn id="4" xr3:uid="{F71BE45E-1D38-42A7-961A-14DC91FE6D44}" name="Number of Acres" dataDxfId="45">
      <calculatedColumnFormula>'App A9. Data for tables'!$H$78</calculatedColumnFormula>
    </tableColumn>
    <tableColumn id="5" xr3:uid="{62748816-5E28-499A-9F16-7A58411E7341}" name="Total Interest Cost ($)" dataDxfId="44">
      <calculatedColumnFormula>((B3+C3)/2)*'App A9. Data for tables'!$H$74</calculatedColumnFormula>
    </tableColumn>
    <tableColumn id="6" xr3:uid="{3EE744B8-941F-487F-AD2D-0575C6AF021C}" name="Interest Cost Per Acre ($)B" dataDxfId="43">
      <calculatedColumnFormula>E3/D3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9C09E-08B6-4CD9-BC74-A1EE752D3E22}">
  <dimension ref="A1:O33"/>
  <sheetViews>
    <sheetView topLeftCell="B11" zoomScale="161" zoomScaleNormal="161" workbookViewId="0">
      <selection activeCell="B17" sqref="B17"/>
    </sheetView>
  </sheetViews>
  <sheetFormatPr baseColWidth="10" defaultColWidth="9.1640625" defaultRowHeight="14" x14ac:dyDescent="0.2"/>
  <cols>
    <col min="1" max="1" width="7.33203125" style="33" customWidth="1"/>
    <col min="2" max="2" width="131.1640625" style="20" customWidth="1"/>
    <col min="3" max="3" width="9.1640625" style="20"/>
    <col min="4" max="4" width="12.6640625" style="20" customWidth="1"/>
    <col min="5" max="9" width="9.1640625" style="20"/>
    <col min="10" max="10" width="15.6640625" style="20" customWidth="1"/>
    <col min="11" max="11" width="9.1640625" style="20"/>
    <col min="12" max="12" width="4.6640625" style="20" customWidth="1"/>
    <col min="13" max="13" width="14.6640625" style="20" customWidth="1"/>
    <col min="14" max="16384" width="9.1640625" style="20"/>
  </cols>
  <sheetData>
    <row r="1" spans="1:15" ht="28.25" customHeight="1" x14ac:dyDescent="0.2">
      <c r="A1" s="79" t="s">
        <v>436</v>
      </c>
      <c r="B1" s="79"/>
      <c r="C1" s="79"/>
      <c r="D1" s="79"/>
      <c r="E1" s="79"/>
      <c r="F1" s="79"/>
      <c r="G1" s="79"/>
      <c r="H1" s="79"/>
      <c r="I1" s="79"/>
      <c r="J1" s="79"/>
      <c r="K1" s="72"/>
    </row>
    <row r="2" spans="1:15" ht="24.5" customHeight="1" x14ac:dyDescent="0.15">
      <c r="A2" s="80" t="s">
        <v>0</v>
      </c>
      <c r="O2" s="8"/>
    </row>
    <row r="3" spans="1:15" ht="18" customHeight="1" x14ac:dyDescent="0.15">
      <c r="A3" s="81" t="s">
        <v>1</v>
      </c>
      <c r="O3" s="8"/>
    </row>
    <row r="4" spans="1:15" ht="18" customHeight="1" x14ac:dyDescent="0.2">
      <c r="A4" s="82" t="s">
        <v>396</v>
      </c>
      <c r="B4" s="82" t="s">
        <v>397</v>
      </c>
      <c r="C4" s="18"/>
      <c r="D4" s="18"/>
      <c r="E4" s="18"/>
      <c r="F4" s="18"/>
      <c r="G4" s="18"/>
      <c r="H4" s="18"/>
      <c r="I4" s="18"/>
      <c r="O4" s="75"/>
    </row>
    <row r="5" spans="1:15" ht="18" customHeight="1" x14ac:dyDescent="0.2">
      <c r="A5" s="83">
        <v>1</v>
      </c>
      <c r="B5" s="84" t="s">
        <v>435</v>
      </c>
      <c r="C5" s="84"/>
      <c r="D5" s="84"/>
      <c r="E5" s="84"/>
      <c r="F5" s="84"/>
      <c r="G5" s="84"/>
      <c r="H5" s="84"/>
      <c r="I5" s="84"/>
      <c r="J5" s="84"/>
      <c r="O5" s="74"/>
    </row>
    <row r="6" spans="1:15" ht="18" customHeight="1" x14ac:dyDescent="0.2">
      <c r="A6" s="83">
        <v>2</v>
      </c>
      <c r="B6" s="29" t="s">
        <v>2</v>
      </c>
      <c r="C6" s="18"/>
      <c r="D6" s="18"/>
      <c r="E6" s="18"/>
      <c r="F6" s="18"/>
      <c r="G6" s="18"/>
      <c r="H6" s="18"/>
      <c r="I6" s="18"/>
      <c r="O6" s="74"/>
    </row>
    <row r="7" spans="1:15" ht="46.25" customHeight="1" x14ac:dyDescent="0.2">
      <c r="A7" s="85">
        <v>3</v>
      </c>
      <c r="B7" s="29" t="s">
        <v>437</v>
      </c>
      <c r="C7" s="18"/>
      <c r="D7" s="18"/>
      <c r="E7" s="18"/>
      <c r="F7" s="18"/>
      <c r="G7" s="18"/>
      <c r="H7" s="18"/>
      <c r="I7" s="18"/>
      <c r="J7" s="18"/>
      <c r="O7" s="74"/>
    </row>
    <row r="8" spans="1:15" ht="46.75" customHeight="1" x14ac:dyDescent="0.2">
      <c r="A8" s="85">
        <v>4</v>
      </c>
      <c r="B8" s="29" t="s">
        <v>442</v>
      </c>
      <c r="C8" s="29"/>
      <c r="D8" s="29"/>
      <c r="E8" s="29"/>
      <c r="F8" s="29"/>
      <c r="G8" s="29"/>
      <c r="H8" s="29"/>
      <c r="I8" s="29"/>
      <c r="J8" s="29"/>
      <c r="O8" s="74"/>
    </row>
    <row r="9" spans="1:15" s="8" customFormat="1" ht="36" customHeight="1" x14ac:dyDescent="0.15">
      <c r="A9" s="48" t="s">
        <v>3</v>
      </c>
      <c r="B9" s="86"/>
      <c r="C9" s="86"/>
      <c r="D9" s="86"/>
      <c r="E9" s="86"/>
      <c r="F9" s="86"/>
      <c r="G9" s="86"/>
      <c r="H9" s="86"/>
      <c r="I9" s="86"/>
      <c r="J9" s="86"/>
      <c r="O9" s="73"/>
    </row>
    <row r="10" spans="1:15" ht="18" customHeight="1" x14ac:dyDescent="0.2">
      <c r="A10" s="82" t="s">
        <v>398</v>
      </c>
      <c r="B10" s="82" t="s">
        <v>399</v>
      </c>
      <c r="N10" s="37"/>
      <c r="O10" s="74"/>
    </row>
    <row r="11" spans="1:15" ht="31" customHeight="1" x14ac:dyDescent="0.2">
      <c r="A11" s="232">
        <v>1</v>
      </c>
      <c r="B11" s="29" t="s">
        <v>446</v>
      </c>
      <c r="N11" s="37"/>
      <c r="O11" s="74"/>
    </row>
    <row r="12" spans="1:15" ht="36" customHeight="1" x14ac:dyDescent="0.15">
      <c r="A12" s="87">
        <v>2</v>
      </c>
      <c r="B12" s="29" t="s">
        <v>4</v>
      </c>
      <c r="C12" s="29"/>
      <c r="D12" s="29"/>
      <c r="E12" s="29"/>
      <c r="F12" s="29"/>
      <c r="G12" s="29"/>
      <c r="H12" s="29"/>
      <c r="I12" s="29"/>
      <c r="J12" s="29"/>
      <c r="N12" s="38"/>
      <c r="O12" s="73"/>
    </row>
    <row r="13" spans="1:15" ht="48" customHeight="1" x14ac:dyDescent="0.2">
      <c r="A13" s="87">
        <v>3</v>
      </c>
      <c r="B13" s="29" t="s">
        <v>441</v>
      </c>
      <c r="C13" s="29"/>
      <c r="D13" s="29"/>
      <c r="E13" s="29"/>
      <c r="F13" s="29"/>
      <c r="G13" s="29"/>
      <c r="H13" s="29"/>
      <c r="I13" s="29"/>
      <c r="J13" s="29"/>
      <c r="N13" s="38"/>
    </row>
    <row r="14" spans="1:15" ht="18" customHeight="1" x14ac:dyDescent="0.2">
      <c r="A14" s="87">
        <v>4</v>
      </c>
      <c r="B14" s="29" t="s">
        <v>271</v>
      </c>
      <c r="C14" s="29"/>
      <c r="D14" s="29"/>
      <c r="E14" s="29"/>
      <c r="F14" s="29"/>
      <c r="G14" s="29"/>
      <c r="H14" s="29"/>
      <c r="I14" s="29"/>
      <c r="J14" s="29"/>
      <c r="N14" s="38"/>
    </row>
    <row r="15" spans="1:15" ht="18" customHeight="1" x14ac:dyDescent="0.2">
      <c r="A15" s="87">
        <v>5</v>
      </c>
      <c r="B15" s="29" t="s">
        <v>5</v>
      </c>
      <c r="C15" s="29"/>
      <c r="D15" s="29"/>
      <c r="E15" s="29"/>
      <c r="F15" s="29"/>
      <c r="G15" s="29"/>
      <c r="H15" s="29"/>
      <c r="I15" s="29"/>
      <c r="J15" s="29"/>
      <c r="N15" s="38"/>
    </row>
    <row r="16" spans="1:15" ht="48" customHeight="1" x14ac:dyDescent="0.2">
      <c r="A16" s="87">
        <v>6</v>
      </c>
      <c r="B16" s="29" t="s">
        <v>304</v>
      </c>
      <c r="C16" s="29"/>
      <c r="D16" s="29"/>
      <c r="E16" s="29"/>
      <c r="F16" s="29"/>
      <c r="G16" s="29"/>
      <c r="H16" s="29"/>
      <c r="I16" s="29"/>
      <c r="J16" s="29"/>
      <c r="K16" s="39"/>
      <c r="N16" s="38"/>
    </row>
    <row r="17" spans="1:14" ht="33" customHeight="1" x14ac:dyDescent="0.2">
      <c r="A17" s="85">
        <v>7</v>
      </c>
      <c r="B17" s="88" t="s">
        <v>445</v>
      </c>
      <c r="C17" s="88"/>
      <c r="D17" s="88"/>
      <c r="E17" s="88"/>
      <c r="F17" s="88"/>
      <c r="G17" s="88"/>
      <c r="H17" s="88"/>
      <c r="I17" s="88"/>
      <c r="J17" s="88"/>
      <c r="N17" s="38"/>
    </row>
    <row r="18" spans="1:14" ht="45" customHeight="1" x14ac:dyDescent="0.2">
      <c r="A18" s="87">
        <v>8</v>
      </c>
      <c r="B18" s="29" t="s">
        <v>449</v>
      </c>
      <c r="C18" s="88"/>
      <c r="D18" s="88"/>
      <c r="E18" s="88"/>
      <c r="F18" s="88"/>
      <c r="G18" s="88"/>
      <c r="H18" s="88"/>
      <c r="I18" s="88"/>
      <c r="J18" s="88"/>
      <c r="N18" s="38"/>
    </row>
    <row r="19" spans="1:14" ht="18" customHeight="1" x14ac:dyDescent="0.2">
      <c r="A19" s="87">
        <v>9</v>
      </c>
      <c r="B19" s="29" t="s">
        <v>300</v>
      </c>
      <c r="C19" s="29"/>
      <c r="D19" s="29"/>
      <c r="E19" s="29"/>
      <c r="F19" s="29"/>
      <c r="G19" s="29"/>
      <c r="H19" s="29"/>
      <c r="I19" s="29"/>
      <c r="J19" s="29"/>
      <c r="K19" s="39"/>
      <c r="N19" s="38"/>
    </row>
    <row r="20" spans="1:14" ht="36" customHeight="1" x14ac:dyDescent="0.2">
      <c r="A20" s="87">
        <v>10</v>
      </c>
      <c r="B20" s="29" t="s">
        <v>6</v>
      </c>
      <c r="C20" s="29"/>
      <c r="D20" s="29"/>
      <c r="E20" s="29"/>
      <c r="F20" s="29"/>
      <c r="G20" s="29"/>
      <c r="H20" s="29"/>
      <c r="I20" s="29"/>
      <c r="J20" s="29"/>
      <c r="N20" s="38"/>
    </row>
    <row r="21" spans="1:14" x14ac:dyDescent="0.2">
      <c r="A21" s="87"/>
      <c r="B21" s="18"/>
      <c r="C21" s="18"/>
      <c r="D21" s="18"/>
      <c r="E21" s="18"/>
      <c r="F21" s="18"/>
      <c r="G21" s="18"/>
      <c r="H21" s="18"/>
      <c r="I21" s="18"/>
      <c r="N21" s="38"/>
    </row>
    <row r="22" spans="1:14" x14ac:dyDescent="0.2">
      <c r="N22" s="38"/>
    </row>
    <row r="23" spans="1:14" s="8" customFormat="1" x14ac:dyDescent="0.15">
      <c r="A23" s="33"/>
      <c r="N23" s="42"/>
    </row>
    <row r="24" spans="1:14" x14ac:dyDescent="0.2">
      <c r="N24" s="38"/>
    </row>
    <row r="25" spans="1:14" x14ac:dyDescent="0.2">
      <c r="N25" s="38"/>
    </row>
    <row r="26" spans="1:14" x14ac:dyDescent="0.2">
      <c r="M26" s="38"/>
      <c r="N26" s="38"/>
    </row>
    <row r="32" spans="1:14" x14ac:dyDescent="0.2">
      <c r="B32" s="18"/>
      <c r="C32" s="18"/>
      <c r="D32" s="18"/>
      <c r="E32" s="18"/>
      <c r="F32" s="18"/>
      <c r="G32" s="18"/>
      <c r="H32" s="18"/>
      <c r="I32" s="18"/>
      <c r="N32" s="38"/>
    </row>
    <row r="33" spans="2:10" x14ac:dyDescent="0.2">
      <c r="B33" s="29"/>
      <c r="C33" s="29"/>
      <c r="D33" s="29"/>
      <c r="E33" s="29"/>
      <c r="F33" s="29"/>
      <c r="G33" s="29"/>
      <c r="H33" s="29"/>
      <c r="I33" s="29"/>
      <c r="J33" s="29"/>
    </row>
  </sheetData>
  <pageMargins left="0.7" right="0.7" top="0.75" bottom="0.75" header="0.3" footer="0.3"/>
  <pageSetup orientation="portrait" r:id="rId1"/>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3"/>
  <sheetViews>
    <sheetView zoomScaleNormal="100" workbookViewId="0">
      <selection activeCell="A2" sqref="A2"/>
    </sheetView>
  </sheetViews>
  <sheetFormatPr baseColWidth="10" defaultColWidth="9.1640625" defaultRowHeight="14" x14ac:dyDescent="0.15"/>
  <cols>
    <col min="1" max="1" width="52.5" style="103" customWidth="1"/>
    <col min="2" max="2" width="10" style="31" customWidth="1"/>
    <col min="3" max="3" width="11" style="31" customWidth="1"/>
    <col min="4" max="4" width="10.6640625" style="31" customWidth="1"/>
    <col min="5" max="5" width="11.5" style="31" customWidth="1"/>
    <col min="6" max="6" width="18.33203125" style="31" customWidth="1"/>
    <col min="7" max="7" width="4.5" style="31" customWidth="1"/>
    <col min="8" max="9" width="9.1640625" style="103"/>
    <col min="10" max="16384" width="9.1640625" style="104"/>
  </cols>
  <sheetData>
    <row r="1" spans="1:9" s="8" customFormat="1" ht="30" customHeight="1" x14ac:dyDescent="0.2">
      <c r="A1" s="89" t="s">
        <v>476</v>
      </c>
      <c r="B1" s="252"/>
      <c r="C1" s="252"/>
      <c r="D1" s="252"/>
      <c r="E1" s="252"/>
      <c r="F1" s="252"/>
      <c r="G1" s="31"/>
      <c r="H1" s="103"/>
      <c r="I1" s="103"/>
    </row>
    <row r="2" spans="1:9" s="8" customFormat="1" ht="30" x14ac:dyDescent="0.15">
      <c r="A2" s="113" t="s">
        <v>57</v>
      </c>
      <c r="B2" s="61" t="s">
        <v>105</v>
      </c>
      <c r="C2" s="61" t="s">
        <v>106</v>
      </c>
      <c r="D2" s="61" t="s">
        <v>107</v>
      </c>
      <c r="E2" s="61" t="s">
        <v>86</v>
      </c>
      <c r="F2" s="62" t="s">
        <v>108</v>
      </c>
      <c r="G2" s="31"/>
      <c r="H2" s="103"/>
      <c r="I2" s="103"/>
    </row>
    <row r="3" spans="1:9" ht="18" customHeight="1" x14ac:dyDescent="0.15">
      <c r="A3" s="9" t="s">
        <v>371</v>
      </c>
      <c r="B3" s="30"/>
      <c r="C3" s="30"/>
      <c r="D3" s="56">
        <f>'App A9. Data for tables'!$H$24</f>
        <v>0</v>
      </c>
      <c r="E3" s="57">
        <f>'App A9. Data for tables'!$H$78</f>
        <v>11</v>
      </c>
      <c r="F3" s="30">
        <f t="shared" ref="F3:F25" si="0">D3*E3</f>
        <v>0</v>
      </c>
      <c r="H3" s="8"/>
      <c r="I3" s="8"/>
    </row>
    <row r="4" spans="1:9" ht="18" customHeight="1" x14ac:dyDescent="0.15">
      <c r="A4" s="9" t="s">
        <v>310</v>
      </c>
      <c r="B4" s="30"/>
      <c r="C4" s="30"/>
      <c r="D4" s="56">
        <f>'App A9. Data for tables'!$H$26</f>
        <v>0</v>
      </c>
      <c r="E4" s="57">
        <f>'App A9. Data for tables'!$H$78</f>
        <v>11</v>
      </c>
      <c r="F4" s="30">
        <f t="shared" ref="F4" si="1">D4*E4</f>
        <v>0</v>
      </c>
      <c r="H4" s="8"/>
      <c r="I4" s="8"/>
    </row>
    <row r="5" spans="1:9" ht="18" customHeight="1" x14ac:dyDescent="0.15">
      <c r="A5" s="103" t="s">
        <v>117</v>
      </c>
      <c r="B5" s="56"/>
      <c r="C5" s="57"/>
      <c r="D5" s="30">
        <f>('App A9. Data for tables'!$H$33*'App A9. Data for tables'!$H$34)+('App A9. Data for tables'!$H$35*'App A9. Data for tables'!$H$36)+('App A9. Data for tables'!$H$37*'App A9. Data for tables'!$H$38)</f>
        <v>1254.54</v>
      </c>
      <c r="E5" s="57">
        <f>'App A9. Data for tables'!$H$78</f>
        <v>11</v>
      </c>
      <c r="F5" s="30">
        <f t="shared" si="0"/>
        <v>13799.939999999999</v>
      </c>
    </row>
    <row r="6" spans="1:9" ht="18" customHeight="1" x14ac:dyDescent="0.15">
      <c r="A6" s="103" t="s">
        <v>350</v>
      </c>
      <c r="B6" s="56"/>
      <c r="C6" s="57"/>
      <c r="D6" s="30">
        <f>('App A9. Data for tables'!$H$39*'App A9. Data for tables'!$H$40)+('App A9. Data for tables'!$H$41*'App A9. Data for tables'!$H$42)</f>
        <v>0</v>
      </c>
      <c r="E6" s="57">
        <f>'App A9. Data for tables'!$H$78</f>
        <v>11</v>
      </c>
      <c r="F6" s="30">
        <f t="shared" si="0"/>
        <v>0</v>
      </c>
    </row>
    <row r="7" spans="1:9" ht="18" customHeight="1" x14ac:dyDescent="0.15">
      <c r="A7" s="9" t="s">
        <v>336</v>
      </c>
      <c r="B7" s="30"/>
      <c r="C7" s="57"/>
      <c r="D7" s="56">
        <f>'App A9. Data for tables'!$H$43</f>
        <v>1460</v>
      </c>
      <c r="E7" s="57">
        <f>'App A9. Data for tables'!$H$78</f>
        <v>11</v>
      </c>
      <c r="F7" s="30">
        <f t="shared" si="0"/>
        <v>16060</v>
      </c>
    </row>
    <row r="8" spans="1:9" ht="18" customHeight="1" x14ac:dyDescent="0.15">
      <c r="A8" s="103" t="s">
        <v>352</v>
      </c>
      <c r="B8" s="30"/>
      <c r="C8" s="57"/>
      <c r="D8" s="56">
        <f>('App A9. Data for tables'!$H$44*'App A9. Data for tables'!$H$45)</f>
        <v>407.34</v>
      </c>
      <c r="E8" s="57">
        <f>'App A9. Data for tables'!$H$78</f>
        <v>11</v>
      </c>
      <c r="F8" s="30">
        <f t="shared" ref="F8" si="2">D8*E8</f>
        <v>4480.74</v>
      </c>
    </row>
    <row r="9" spans="1:9" ht="18" customHeight="1" x14ac:dyDescent="0.15">
      <c r="A9" s="9" t="s">
        <v>355</v>
      </c>
      <c r="B9" s="56"/>
      <c r="C9" s="70"/>
      <c r="D9" s="30">
        <f>'App A9. Data for tables'!$H$46</f>
        <v>230</v>
      </c>
      <c r="E9" s="57">
        <f>'App A9. Data for tables'!$H$78</f>
        <v>11</v>
      </c>
      <c r="F9" s="30">
        <f t="shared" si="0"/>
        <v>2530</v>
      </c>
    </row>
    <row r="10" spans="1:9" ht="18" customHeight="1" x14ac:dyDescent="0.15">
      <c r="A10" s="9" t="s">
        <v>356</v>
      </c>
      <c r="B10" s="56"/>
      <c r="C10" s="70"/>
      <c r="D10" s="30">
        <f>('App A9. Data for tables'!$H$47*'App A9. Data for tables'!$H$48)</f>
        <v>181.04</v>
      </c>
      <c r="E10" s="57">
        <f>'App A9. Data for tables'!$H$78</f>
        <v>11</v>
      </c>
      <c r="F10" s="30">
        <f t="shared" si="0"/>
        <v>1991.4399999999998</v>
      </c>
    </row>
    <row r="11" spans="1:9" ht="18" customHeight="1" x14ac:dyDescent="0.15">
      <c r="A11" s="9" t="s">
        <v>113</v>
      </c>
      <c r="B11" s="56"/>
      <c r="C11" s="70"/>
      <c r="D11" s="56">
        <f>'App A9. Data for tables'!$H$49</f>
        <v>155</v>
      </c>
      <c r="E11" s="57">
        <f>'App A9. Data for tables'!$H$78</f>
        <v>11</v>
      </c>
      <c r="F11" s="30">
        <f t="shared" si="0"/>
        <v>1705</v>
      </c>
    </row>
    <row r="12" spans="1:9" ht="18" customHeight="1" x14ac:dyDescent="0.15">
      <c r="A12" s="9" t="s">
        <v>114</v>
      </c>
      <c r="B12" s="30"/>
      <c r="C12" s="30"/>
      <c r="D12" s="56">
        <f>'App A9. Data for tables'!$H$50</f>
        <v>120</v>
      </c>
      <c r="E12" s="57">
        <f>'App A9. Data for tables'!$H$78</f>
        <v>11</v>
      </c>
      <c r="F12" s="30">
        <f t="shared" si="0"/>
        <v>1320</v>
      </c>
    </row>
    <row r="13" spans="1:9" ht="18" customHeight="1" x14ac:dyDescent="0.15">
      <c r="A13" s="9" t="s">
        <v>357</v>
      </c>
      <c r="B13" s="30"/>
      <c r="C13" s="30"/>
      <c r="D13" s="56">
        <f>('App A9. Data for tables'!$H$51*'App A9. Data for tables'!$H$52)</f>
        <v>226.29999999999998</v>
      </c>
      <c r="E13" s="57">
        <f>'App A9. Data for tables'!$H$78</f>
        <v>11</v>
      </c>
      <c r="F13" s="30">
        <f t="shared" si="0"/>
        <v>2489.2999999999997</v>
      </c>
    </row>
    <row r="14" spans="1:9" ht="18" customHeight="1" x14ac:dyDescent="0.15">
      <c r="A14" s="103" t="s">
        <v>24</v>
      </c>
      <c r="B14" s="56"/>
      <c r="C14" s="70"/>
      <c r="D14" s="30">
        <f>'App A9. Data for tables'!$H$53*'App A9. Data for tables'!$H$54</f>
        <v>195</v>
      </c>
      <c r="E14" s="57">
        <f>'App A9. Data for tables'!$H$78</f>
        <v>11</v>
      </c>
      <c r="F14" s="30">
        <f t="shared" si="0"/>
        <v>2145</v>
      </c>
    </row>
    <row r="15" spans="1:9" ht="18" customHeight="1" x14ac:dyDescent="0.15">
      <c r="A15" s="9" t="s">
        <v>359</v>
      </c>
      <c r="B15" s="30"/>
      <c r="C15" s="30"/>
      <c r="D15" s="56">
        <f>SUM('App A9. Data for tables'!$H$56:$H$60)</f>
        <v>285</v>
      </c>
      <c r="E15" s="57">
        <f>'App A9. Data for tables'!$H$78</f>
        <v>11</v>
      </c>
      <c r="F15" s="30">
        <f t="shared" si="0"/>
        <v>3135</v>
      </c>
    </row>
    <row r="16" spans="1:9" ht="18" customHeight="1" x14ac:dyDescent="0.15">
      <c r="A16" s="9" t="s">
        <v>361</v>
      </c>
      <c r="B16" s="30"/>
      <c r="C16" s="30"/>
      <c r="D16" s="56">
        <f>'App A9. Data for tables'!$H$61</f>
        <v>180</v>
      </c>
      <c r="E16" s="57">
        <f>'App A9. Data for tables'!$H$78</f>
        <v>11</v>
      </c>
      <c r="F16" s="30">
        <f t="shared" si="0"/>
        <v>1980</v>
      </c>
    </row>
    <row r="17" spans="1:6" ht="18" customHeight="1" x14ac:dyDescent="0.15">
      <c r="A17" s="9" t="s">
        <v>362</v>
      </c>
      <c r="B17" s="56"/>
      <c r="C17" s="70"/>
      <c r="D17" s="30">
        <f>'App A9. Data for tables'!$H$66</f>
        <v>100</v>
      </c>
      <c r="E17" s="57">
        <f>'App A9. Data for tables'!$H$78</f>
        <v>11</v>
      </c>
      <c r="F17" s="30">
        <f t="shared" si="0"/>
        <v>1100</v>
      </c>
    </row>
    <row r="18" spans="1:6" ht="18" customHeight="1" x14ac:dyDescent="0.15">
      <c r="A18" s="9" t="s">
        <v>28</v>
      </c>
      <c r="B18" s="30"/>
      <c r="C18" s="57"/>
      <c r="D18" s="56">
        <f>'App A9. Data for tables'!$H$67</f>
        <v>190</v>
      </c>
      <c r="E18" s="57">
        <f>'App A9. Data for tables'!$H$78</f>
        <v>11</v>
      </c>
      <c r="F18" s="30">
        <f t="shared" si="0"/>
        <v>2090</v>
      </c>
    </row>
    <row r="19" spans="1:6" ht="18" customHeight="1" x14ac:dyDescent="0.15">
      <c r="A19" s="9" t="s">
        <v>29</v>
      </c>
      <c r="B19" s="30"/>
      <c r="C19" s="30"/>
      <c r="D19" s="56">
        <f>'App A9. Data for tables'!$H$69</f>
        <v>120</v>
      </c>
      <c r="E19" s="57">
        <f>'App A9. Data for tables'!$H$78</f>
        <v>11</v>
      </c>
      <c r="F19" s="30">
        <f t="shared" si="0"/>
        <v>1320</v>
      </c>
    </row>
    <row r="20" spans="1:6" ht="18" customHeight="1" x14ac:dyDescent="0.15">
      <c r="A20" s="9" t="s">
        <v>291</v>
      </c>
      <c r="B20" s="30"/>
      <c r="C20" s="30"/>
      <c r="D20" s="56">
        <f>'App A9. Data for tables'!$H$70+'App A9. Data for tables'!$H$71</f>
        <v>425</v>
      </c>
      <c r="E20" s="57">
        <f>'App A9. Data for tables'!$H$78</f>
        <v>11</v>
      </c>
      <c r="F20" s="30">
        <f t="shared" si="0"/>
        <v>4675</v>
      </c>
    </row>
    <row r="21" spans="1:6" ht="18" customHeight="1" x14ac:dyDescent="0.15">
      <c r="A21" s="9" t="s">
        <v>365</v>
      </c>
      <c r="B21" s="30"/>
      <c r="C21" s="30"/>
      <c r="D21" s="56">
        <f>'App A9. Data for tables'!$H$72</f>
        <v>700</v>
      </c>
      <c r="E21" s="57">
        <f>'App A9. Data for tables'!$H$78</f>
        <v>11</v>
      </c>
      <c r="F21" s="30">
        <f t="shared" si="0"/>
        <v>7700</v>
      </c>
    </row>
    <row r="22" spans="1:6" ht="18" customHeight="1" x14ac:dyDescent="0.15">
      <c r="A22" s="9" t="s">
        <v>425</v>
      </c>
      <c r="B22" s="56">
        <f>'App A9. Data for tables'!$H$62</f>
        <v>0.24</v>
      </c>
      <c r="C22" s="57">
        <f>'App A9. Data for tables'!$H$7</f>
        <v>18000</v>
      </c>
      <c r="D22" s="30">
        <f>B22*C22</f>
        <v>4320</v>
      </c>
      <c r="E22" s="57">
        <f>'App A9. Data for tables'!$H$78</f>
        <v>11</v>
      </c>
      <c r="F22" s="30">
        <f t="shared" si="0"/>
        <v>47520</v>
      </c>
    </row>
    <row r="23" spans="1:6" ht="18" customHeight="1" x14ac:dyDescent="0.15">
      <c r="A23" s="9" t="s">
        <v>426</v>
      </c>
      <c r="B23" s="56">
        <f>'App A9. Data for tables'!$H$63</f>
        <v>0.15</v>
      </c>
      <c r="C23" s="57">
        <f>'App A9. Data for tables'!$H$7</f>
        <v>18000</v>
      </c>
      <c r="D23" s="30">
        <f>B23*C23</f>
        <v>2700</v>
      </c>
      <c r="E23" s="57">
        <f>'App A9. Data for tables'!$H$78</f>
        <v>11</v>
      </c>
      <c r="F23" s="30">
        <f t="shared" si="0"/>
        <v>29700</v>
      </c>
    </row>
    <row r="24" spans="1:6" ht="18" customHeight="1" x14ac:dyDescent="0.15">
      <c r="A24" s="9" t="s">
        <v>427</v>
      </c>
      <c r="B24" s="56">
        <f>'App A9. Data for tables'!$H$64</f>
        <v>0.05</v>
      </c>
      <c r="C24" s="57">
        <f>'App A9. Data for tables'!$H$7</f>
        <v>18000</v>
      </c>
      <c r="D24" s="30">
        <f>B24*C24</f>
        <v>900</v>
      </c>
      <c r="E24" s="57">
        <f>'App A9. Data for tables'!$H$78</f>
        <v>11</v>
      </c>
      <c r="F24" s="30">
        <f t="shared" si="0"/>
        <v>9900</v>
      </c>
    </row>
    <row r="25" spans="1:6" ht="18" customHeight="1" x14ac:dyDescent="0.15">
      <c r="A25" s="103" t="s">
        <v>428</v>
      </c>
      <c r="B25" s="56">
        <f>'App A9. Data for tables'!$H$65</f>
        <v>0.85</v>
      </c>
      <c r="C25" s="57">
        <f>'App A9. Data for tables'!$H$7</f>
        <v>18000</v>
      </c>
      <c r="D25" s="30">
        <f>B25*C25</f>
        <v>15300</v>
      </c>
      <c r="E25" s="57">
        <f>'App A9. Data for tables'!$H$78</f>
        <v>11</v>
      </c>
      <c r="F25" s="30">
        <f t="shared" si="0"/>
        <v>168300</v>
      </c>
    </row>
    <row r="26" spans="1:6" ht="18" customHeight="1" x14ac:dyDescent="0.15">
      <c r="A26" s="103" t="s">
        <v>49</v>
      </c>
      <c r="B26" s="56"/>
      <c r="C26" s="57"/>
      <c r="D26" s="30"/>
      <c r="E26" s="57"/>
      <c r="F26" s="30"/>
    </row>
    <row r="27" spans="1:6" ht="18" customHeight="1" x14ac:dyDescent="0.15">
      <c r="A27" s="7" t="s">
        <v>351</v>
      </c>
    </row>
    <row r="28" spans="1:6" ht="18" customHeight="1" x14ac:dyDescent="0.15">
      <c r="A28" s="7" t="s">
        <v>353</v>
      </c>
    </row>
    <row r="29" spans="1:6" ht="18" customHeight="1" x14ac:dyDescent="0.15">
      <c r="A29" s="7" t="s">
        <v>354</v>
      </c>
    </row>
    <row r="30" spans="1:6" ht="18" customHeight="1" x14ac:dyDescent="0.15">
      <c r="A30" s="7" t="s">
        <v>358</v>
      </c>
    </row>
    <row r="31" spans="1:6" ht="18" customHeight="1" x14ac:dyDescent="0.15">
      <c r="A31" s="7" t="s">
        <v>360</v>
      </c>
    </row>
    <row r="32" spans="1:6" ht="18" customHeight="1" x14ac:dyDescent="0.15">
      <c r="A32" s="7" t="s">
        <v>363</v>
      </c>
    </row>
    <row r="33" spans="1:1" ht="18" customHeight="1" x14ac:dyDescent="0.15">
      <c r="A33" s="7" t="s">
        <v>364</v>
      </c>
    </row>
  </sheetData>
  <protectedRanges>
    <protectedRange sqref="B14:C14 B15:D17 B19:D26 B5:D13" name="Range2"/>
    <protectedRange sqref="B18:D18" name="Range2_1"/>
    <protectedRange sqref="B3:D4" name="Range2_3"/>
    <protectedRange sqref="D14" name="Range2_5"/>
  </protectedRanges>
  <phoneticPr fontId="17" type="noConversion"/>
  <pageMargins left="0.7" right="0.7" top="0.75" bottom="0.75" header="0.3" footer="0.3"/>
  <pageSetup orientation="portrait"/>
  <ignoredErrors>
    <ignoredError sqref="D22:F25 E3:F16 E17:F21 B22:B25" unlockedFormula="1"/>
  </ignoredErrors>
  <tableParts count="1">
    <tablePart r:id="rId1"/>
  </tablePart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8"/>
  <sheetViews>
    <sheetView zoomScaleNormal="100" workbookViewId="0">
      <selection activeCell="A2" sqref="A2"/>
    </sheetView>
  </sheetViews>
  <sheetFormatPr baseColWidth="10" defaultColWidth="23.1640625" defaultRowHeight="16" x14ac:dyDescent="0.2"/>
  <cols>
    <col min="1" max="1" width="26.5" style="6" customWidth="1"/>
    <col min="2" max="2" width="24.5" style="69" customWidth="1"/>
    <col min="3" max="3" width="15.33203125" style="69" customWidth="1"/>
    <col min="4" max="4" width="21.1640625" style="69" customWidth="1"/>
    <col min="5" max="5" width="9.5" style="69" customWidth="1"/>
    <col min="6" max="6" width="19.6640625" style="69" customWidth="1"/>
    <col min="7" max="7" width="21.5" style="69" customWidth="1"/>
    <col min="8" max="8" width="4.5" style="8" customWidth="1"/>
    <col min="9" max="247" width="9.1640625" style="119" customWidth="1"/>
    <col min="248" max="248" width="25" style="119" customWidth="1"/>
    <col min="249" max="16384" width="23.1640625" style="119"/>
  </cols>
  <sheetData>
    <row r="1" spans="1:7" ht="30" customHeight="1" x14ac:dyDescent="0.2">
      <c r="A1" s="274" t="s">
        <v>477</v>
      </c>
      <c r="B1" s="274"/>
      <c r="C1" s="274"/>
      <c r="D1" s="274"/>
      <c r="E1" s="274"/>
      <c r="F1" s="274"/>
      <c r="G1" s="274"/>
    </row>
    <row r="2" spans="1:7" ht="31.25" customHeight="1" x14ac:dyDescent="0.2">
      <c r="A2" s="253" t="s">
        <v>251</v>
      </c>
      <c r="B2" s="254" t="s">
        <v>252</v>
      </c>
      <c r="C2" s="255" t="s">
        <v>120</v>
      </c>
      <c r="D2" s="256" t="s">
        <v>253</v>
      </c>
      <c r="E2" s="255" t="s">
        <v>123</v>
      </c>
      <c r="F2" s="255" t="s">
        <v>121</v>
      </c>
      <c r="G2" s="257" t="s">
        <v>122</v>
      </c>
    </row>
    <row r="3" spans="1:7" ht="18" customHeight="1" x14ac:dyDescent="0.2">
      <c r="A3" s="9" t="s">
        <v>124</v>
      </c>
      <c r="B3" s="120">
        <f>'App A2. Mach Etc Req'!E3</f>
        <v>150000</v>
      </c>
      <c r="C3" s="212">
        <v>30</v>
      </c>
      <c r="D3" s="213">
        <v>0</v>
      </c>
      <c r="E3" s="120">
        <f t="shared" ref="E3:E17" si="0">D3*B3</f>
        <v>0</v>
      </c>
      <c r="F3" s="65">
        <f t="shared" ref="F3:F17" si="1">(B3-E3)/C3</f>
        <v>5000</v>
      </c>
      <c r="G3" s="63">
        <f>F3/'App A9. Data for tables'!$H$80</f>
        <v>16.666666666666668</v>
      </c>
    </row>
    <row r="4" spans="1:7" ht="18" customHeight="1" x14ac:dyDescent="0.2">
      <c r="A4" s="9" t="s">
        <v>61</v>
      </c>
      <c r="B4" s="120">
        <f>'App A2. Mach Etc Req'!E4</f>
        <v>325000</v>
      </c>
      <c r="C4" s="212">
        <v>10</v>
      </c>
      <c r="D4" s="213">
        <v>0.1</v>
      </c>
      <c r="E4" s="120">
        <f t="shared" si="0"/>
        <v>32500</v>
      </c>
      <c r="F4" s="65">
        <f t="shared" si="1"/>
        <v>29250</v>
      </c>
      <c r="G4" s="63">
        <f>F4/'App A9. Data for tables'!$H$80</f>
        <v>97.5</v>
      </c>
    </row>
    <row r="5" spans="1:7" ht="18" customHeight="1" x14ac:dyDescent="0.2">
      <c r="A5" s="9" t="s">
        <v>63</v>
      </c>
      <c r="B5" s="120">
        <f>'App A2. Mach Etc Req'!E5</f>
        <v>120000</v>
      </c>
      <c r="C5" s="212">
        <v>10</v>
      </c>
      <c r="D5" s="213">
        <v>0.1</v>
      </c>
      <c r="E5" s="120">
        <f t="shared" si="0"/>
        <v>12000</v>
      </c>
      <c r="F5" s="65">
        <f t="shared" si="1"/>
        <v>10800</v>
      </c>
      <c r="G5" s="63">
        <f>F5/'App A9. Data for tables'!$H$80</f>
        <v>36</v>
      </c>
    </row>
    <row r="6" spans="1:7" ht="18" customHeight="1" x14ac:dyDescent="0.2">
      <c r="A6" s="9" t="s">
        <v>125</v>
      </c>
      <c r="B6" s="120">
        <f>'App A2. Mach Etc Req'!E6</f>
        <v>24000</v>
      </c>
      <c r="C6" s="212">
        <v>5</v>
      </c>
      <c r="D6" s="213">
        <v>0.1</v>
      </c>
      <c r="E6" s="120">
        <f t="shared" si="0"/>
        <v>2400</v>
      </c>
      <c r="F6" s="65">
        <f t="shared" si="1"/>
        <v>4320</v>
      </c>
      <c r="G6" s="63">
        <f>F6/'App A9. Data for tables'!$H$80</f>
        <v>14.4</v>
      </c>
    </row>
    <row r="7" spans="1:7" ht="18" customHeight="1" x14ac:dyDescent="0.2">
      <c r="A7" s="9" t="s">
        <v>126</v>
      </c>
      <c r="B7" s="120">
        <f>'App A2. Mach Etc Req'!E7</f>
        <v>150000</v>
      </c>
      <c r="C7" s="212">
        <v>10</v>
      </c>
      <c r="D7" s="213">
        <v>0.1</v>
      </c>
      <c r="E7" s="120">
        <f t="shared" si="0"/>
        <v>15000</v>
      </c>
      <c r="F7" s="65">
        <f t="shared" si="1"/>
        <v>13500</v>
      </c>
      <c r="G7" s="63">
        <f>F7/'App A9. Data for tables'!$H$80</f>
        <v>45</v>
      </c>
    </row>
    <row r="8" spans="1:7" ht="18" customHeight="1" x14ac:dyDescent="0.2">
      <c r="A8" s="9" t="s">
        <v>127</v>
      </c>
      <c r="B8" s="120">
        <f>'App A2. Mach Etc Req'!E8</f>
        <v>7000</v>
      </c>
      <c r="C8" s="212">
        <v>10</v>
      </c>
      <c r="D8" s="213">
        <v>0.1</v>
      </c>
      <c r="E8" s="120">
        <f t="shared" si="0"/>
        <v>700</v>
      </c>
      <c r="F8" s="65">
        <f t="shared" si="1"/>
        <v>630</v>
      </c>
      <c r="G8" s="63">
        <f>F8/'App A9. Data for tables'!$H$80</f>
        <v>2.1</v>
      </c>
    </row>
    <row r="9" spans="1:7" ht="18" customHeight="1" x14ac:dyDescent="0.2">
      <c r="A9" s="9" t="s">
        <v>128</v>
      </c>
      <c r="B9" s="120">
        <f>'App A2. Mach Etc Req'!E9</f>
        <v>7800</v>
      </c>
      <c r="C9" s="212">
        <v>10</v>
      </c>
      <c r="D9" s="213">
        <v>0.1</v>
      </c>
      <c r="E9" s="120">
        <f t="shared" si="0"/>
        <v>780</v>
      </c>
      <c r="F9" s="65">
        <f t="shared" si="1"/>
        <v>702</v>
      </c>
      <c r="G9" s="63">
        <f>F9/'App A9. Data for tables'!$H$80</f>
        <v>2.34</v>
      </c>
    </row>
    <row r="10" spans="1:7" ht="18" customHeight="1" x14ac:dyDescent="0.2">
      <c r="A10" s="9" t="s">
        <v>129</v>
      </c>
      <c r="B10" s="120">
        <f>'App A2. Mach Etc Req'!E10</f>
        <v>12000</v>
      </c>
      <c r="C10" s="212">
        <v>10</v>
      </c>
      <c r="D10" s="213">
        <v>0.1</v>
      </c>
      <c r="E10" s="120">
        <f t="shared" si="0"/>
        <v>1200</v>
      </c>
      <c r="F10" s="65">
        <f t="shared" si="1"/>
        <v>1080</v>
      </c>
      <c r="G10" s="63">
        <f>F10/'App A9. Data for tables'!$H$80</f>
        <v>3.6</v>
      </c>
    </row>
    <row r="11" spans="1:7" ht="18" customHeight="1" x14ac:dyDescent="0.2">
      <c r="A11" s="9" t="s">
        <v>130</v>
      </c>
      <c r="B11" s="120">
        <f>'App A2. Mach Etc Req'!E11</f>
        <v>100000</v>
      </c>
      <c r="C11" s="212">
        <v>10</v>
      </c>
      <c r="D11" s="213">
        <v>0.1</v>
      </c>
      <c r="E11" s="120">
        <f t="shared" si="0"/>
        <v>10000</v>
      </c>
      <c r="F11" s="65">
        <f t="shared" si="1"/>
        <v>9000</v>
      </c>
      <c r="G11" s="63">
        <f>F11/'App A9. Data for tables'!$H$80</f>
        <v>30</v>
      </c>
    </row>
    <row r="12" spans="1:7" ht="18" customHeight="1" x14ac:dyDescent="0.2">
      <c r="A12" s="11" t="s">
        <v>131</v>
      </c>
      <c r="B12" s="120">
        <f>'App A2. Mach Etc Req'!E12</f>
        <v>44000</v>
      </c>
      <c r="C12" s="212">
        <v>10</v>
      </c>
      <c r="D12" s="213">
        <v>0.1</v>
      </c>
      <c r="E12" s="120">
        <f t="shared" si="0"/>
        <v>4400</v>
      </c>
      <c r="F12" s="65">
        <f t="shared" si="1"/>
        <v>3960</v>
      </c>
      <c r="G12" s="63">
        <f>F12/'App A9. Data for tables'!$H$80</f>
        <v>13.2</v>
      </c>
    </row>
    <row r="13" spans="1:7" ht="18" customHeight="1" x14ac:dyDescent="0.2">
      <c r="A13" s="11" t="s">
        <v>132</v>
      </c>
      <c r="B13" s="120">
        <f>'App A2. Mach Etc Req'!E13</f>
        <v>130000</v>
      </c>
      <c r="C13" s="212">
        <v>10</v>
      </c>
      <c r="D13" s="213">
        <v>0.1</v>
      </c>
      <c r="E13" s="120">
        <f t="shared" si="0"/>
        <v>13000</v>
      </c>
      <c r="F13" s="65">
        <f t="shared" si="1"/>
        <v>11700</v>
      </c>
      <c r="G13" s="63">
        <f>F13/'App A9. Data for tables'!$H$80</f>
        <v>39</v>
      </c>
    </row>
    <row r="14" spans="1:7" ht="18" customHeight="1" x14ac:dyDescent="0.2">
      <c r="A14" s="11" t="s">
        <v>133</v>
      </c>
      <c r="B14" s="120">
        <f>'App A2. Mach Etc Req'!E14</f>
        <v>12000</v>
      </c>
      <c r="C14" s="212">
        <v>10</v>
      </c>
      <c r="D14" s="213">
        <v>0.1</v>
      </c>
      <c r="E14" s="120">
        <f t="shared" si="0"/>
        <v>1200</v>
      </c>
      <c r="F14" s="65">
        <f t="shared" si="1"/>
        <v>1080</v>
      </c>
      <c r="G14" s="63">
        <f>F14/'App A9. Data for tables'!$H$80</f>
        <v>3.6</v>
      </c>
    </row>
    <row r="15" spans="1:7" ht="18" customHeight="1" x14ac:dyDescent="0.2">
      <c r="A15" s="11" t="s">
        <v>78</v>
      </c>
      <c r="B15" s="120">
        <f>'App A2. Mach Etc Req'!E15</f>
        <v>180000</v>
      </c>
      <c r="C15" s="212">
        <v>10</v>
      </c>
      <c r="D15" s="213">
        <v>0.1</v>
      </c>
      <c r="E15" s="120">
        <f t="shared" si="0"/>
        <v>18000</v>
      </c>
      <c r="F15" s="65">
        <f t="shared" si="1"/>
        <v>16200</v>
      </c>
      <c r="G15" s="63">
        <f>F15/'App A9. Data for tables'!$H$80</f>
        <v>54</v>
      </c>
    </row>
    <row r="16" spans="1:7" ht="18" customHeight="1" x14ac:dyDescent="0.2">
      <c r="A16" s="11" t="s">
        <v>134</v>
      </c>
      <c r="B16" s="120">
        <f>'App A2. Mach Etc Req'!E16</f>
        <v>50000</v>
      </c>
      <c r="C16" s="212">
        <v>10</v>
      </c>
      <c r="D16" s="213">
        <v>0.1</v>
      </c>
      <c r="E16" s="120">
        <f t="shared" si="0"/>
        <v>5000</v>
      </c>
      <c r="F16" s="65">
        <f t="shared" si="1"/>
        <v>4500</v>
      </c>
      <c r="G16" s="63">
        <f>F16/'App A9. Data for tables'!$H$80</f>
        <v>15</v>
      </c>
    </row>
    <row r="17" spans="1:8" ht="18" customHeight="1" x14ac:dyDescent="0.2">
      <c r="A17" s="11" t="s">
        <v>135</v>
      </c>
      <c r="B17" s="121">
        <f>'App A2. Mach Etc Req'!E17</f>
        <v>20000</v>
      </c>
      <c r="C17" s="214">
        <v>10</v>
      </c>
      <c r="D17" s="213">
        <v>0.1</v>
      </c>
      <c r="E17" s="121">
        <f t="shared" si="0"/>
        <v>2000</v>
      </c>
      <c r="F17" s="66">
        <f t="shared" si="1"/>
        <v>1800</v>
      </c>
      <c r="G17" s="64">
        <f>F17/'App A9. Data for tables'!$H$80</f>
        <v>6</v>
      </c>
    </row>
    <row r="18" spans="1:8" ht="18" customHeight="1" x14ac:dyDescent="0.2">
      <c r="A18" s="258" t="s">
        <v>136</v>
      </c>
      <c r="B18" s="259">
        <f>SUM(B3:B17)</f>
        <v>1331800</v>
      </c>
      <c r="C18" s="260" t="s">
        <v>254</v>
      </c>
      <c r="D18" s="261" t="s">
        <v>254</v>
      </c>
      <c r="E18" s="259">
        <f>SUM(E3:E17)</f>
        <v>118180</v>
      </c>
      <c r="F18" s="262">
        <f>SUM(F3:F17)</f>
        <v>113522</v>
      </c>
      <c r="G18" s="263">
        <f>F18/'App A9. Data for tables'!$H$80</f>
        <v>378.40666666666669</v>
      </c>
    </row>
    <row r="19" spans="1:8" ht="18" customHeight="1" x14ac:dyDescent="0.2">
      <c r="A19" s="7" t="s">
        <v>79</v>
      </c>
      <c r="B19" s="122"/>
      <c r="C19" s="122"/>
      <c r="D19" s="123"/>
      <c r="E19" s="123"/>
      <c r="F19" s="67"/>
      <c r="G19" s="68"/>
    </row>
    <row r="20" spans="1:8" ht="18" customHeight="1" x14ac:dyDescent="0.2">
      <c r="A20" s="7" t="s">
        <v>137</v>
      </c>
      <c r="B20" s="122"/>
      <c r="C20" s="122"/>
      <c r="D20" s="123"/>
      <c r="E20" s="123"/>
      <c r="F20" s="67"/>
      <c r="G20" s="68"/>
    </row>
    <row r="21" spans="1:8" ht="18" customHeight="1" x14ac:dyDescent="0.2">
      <c r="A21" s="7" t="s">
        <v>138</v>
      </c>
      <c r="B21" s="7"/>
      <c r="C21" s="7"/>
      <c r="D21" s="7"/>
      <c r="E21" s="7"/>
      <c r="F21" s="7"/>
      <c r="G21" s="7"/>
    </row>
    <row r="22" spans="1:8" ht="18" customHeight="1" x14ac:dyDescent="0.2">
      <c r="A22" s="7" t="s">
        <v>139</v>
      </c>
      <c r="B22" s="122"/>
      <c r="C22" s="122"/>
      <c r="D22" s="123"/>
      <c r="E22" s="123"/>
      <c r="F22" s="67"/>
      <c r="G22" s="68"/>
    </row>
    <row r="23" spans="1:8" ht="18" customHeight="1" x14ac:dyDescent="0.2">
      <c r="A23" s="7" t="s">
        <v>140</v>
      </c>
      <c r="B23" s="122"/>
      <c r="C23" s="122"/>
      <c r="D23" s="123"/>
      <c r="E23" s="123"/>
      <c r="F23" s="67"/>
      <c r="G23" s="68"/>
    </row>
    <row r="24" spans="1:8" ht="18" customHeight="1" x14ac:dyDescent="0.2">
      <c r="A24" s="112" t="s">
        <v>141</v>
      </c>
      <c r="B24" s="122"/>
      <c r="C24" s="122"/>
      <c r="D24" s="123"/>
      <c r="E24" s="123"/>
      <c r="F24" s="67"/>
      <c r="G24" s="68"/>
    </row>
    <row r="25" spans="1:8" ht="18" customHeight="1" x14ac:dyDescent="0.2">
      <c r="A25" s="7" t="s">
        <v>408</v>
      </c>
      <c r="B25" s="7"/>
      <c r="C25" s="7"/>
      <c r="D25" s="7"/>
      <c r="E25" s="7"/>
      <c r="F25" s="7"/>
      <c r="G25" s="7"/>
    </row>
    <row r="26" spans="1:8" ht="18" customHeight="1" x14ac:dyDescent="0.2">
      <c r="A26" s="106" t="s">
        <v>409</v>
      </c>
      <c r="B26" s="7"/>
      <c r="C26" s="7"/>
      <c r="D26" s="7"/>
      <c r="E26" s="7"/>
      <c r="F26" s="7"/>
      <c r="G26" s="7"/>
    </row>
    <row r="27" spans="1:8" ht="18" customHeight="1" x14ac:dyDescent="0.2">
      <c r="A27" s="7" t="s">
        <v>142</v>
      </c>
      <c r="B27" s="122"/>
      <c r="C27" s="122"/>
      <c r="D27" s="123"/>
      <c r="E27" s="123"/>
      <c r="F27" s="67"/>
      <c r="G27" s="68"/>
    </row>
    <row r="28" spans="1:8" ht="18" customHeight="1" x14ac:dyDescent="0.2">
      <c r="A28" s="112" t="s">
        <v>143</v>
      </c>
      <c r="H28" s="124"/>
    </row>
  </sheetData>
  <protectedRanges>
    <protectedRange sqref="C3:D17" name="Range"/>
  </protectedRanges>
  <mergeCells count="1">
    <mergeCell ref="A1:G1"/>
  </mergeCells>
  <pageMargins left="0.7" right="0.7" top="0.75" bottom="0.75" header="0.3" footer="0.3"/>
  <ignoredErrors>
    <ignoredError sqref="B3:B18 E3:E18" unlockedFormula="1"/>
  </ignoredErrors>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8"/>
  <sheetViews>
    <sheetView zoomScaleNormal="100" workbookViewId="0">
      <selection activeCell="F11" sqref="F11"/>
    </sheetView>
  </sheetViews>
  <sheetFormatPr baseColWidth="10" defaultColWidth="9.1640625" defaultRowHeight="14" x14ac:dyDescent="0.15"/>
  <cols>
    <col min="1" max="1" width="30.5" style="2" bestFit="1" customWidth="1"/>
    <col min="2" max="2" width="14" style="2" customWidth="1"/>
    <col min="3" max="16384" width="9.1640625" style="2"/>
  </cols>
  <sheetData>
    <row r="1" spans="1:3" s="109" customFormat="1" ht="30" customHeight="1" x14ac:dyDescent="0.2">
      <c r="A1" s="125" t="s">
        <v>478</v>
      </c>
      <c r="B1" s="125"/>
    </row>
    <row r="2" spans="1:3" s="109" customFormat="1" ht="18" customHeight="1" x14ac:dyDescent="0.15">
      <c r="A2" s="264" t="s">
        <v>255</v>
      </c>
      <c r="B2" s="265" t="s">
        <v>256</v>
      </c>
    </row>
    <row r="3" spans="1:3" ht="18" customHeight="1" x14ac:dyDescent="0.15">
      <c r="A3" s="109" t="s">
        <v>144</v>
      </c>
      <c r="B3" s="126">
        <f>'Early-Season Mahogany Budget'!G65</f>
        <v>49540.998316760946</v>
      </c>
      <c r="C3" s="109"/>
    </row>
    <row r="4" spans="1:3" ht="18" customHeight="1" x14ac:dyDescent="0.15">
      <c r="A4" s="109" t="s">
        <v>145</v>
      </c>
      <c r="B4" s="215">
        <f>25-5</f>
        <v>20</v>
      </c>
      <c r="C4" s="127"/>
    </row>
    <row r="5" spans="1:3" ht="18" customHeight="1" x14ac:dyDescent="0.15">
      <c r="A5" s="109" t="s">
        <v>97</v>
      </c>
      <c r="B5" s="128">
        <f>'App A9. Data for tables'!$H$74</f>
        <v>0.05</v>
      </c>
      <c r="C5" s="109"/>
    </row>
    <row r="6" spans="1:3" ht="18" customHeight="1" x14ac:dyDescent="0.15">
      <c r="A6" s="109"/>
      <c r="B6" s="129"/>
      <c r="C6" s="109"/>
    </row>
    <row r="7" spans="1:3" ht="18" customHeight="1" x14ac:dyDescent="0.15">
      <c r="A7" s="109" t="s">
        <v>146</v>
      </c>
      <c r="B7" s="266">
        <f>IF(B4=0," ",PMT(B5,B4,B3))</f>
        <v>-3975.2978769465817</v>
      </c>
      <c r="C7" s="109"/>
    </row>
    <row r="8" spans="1:3" ht="18" customHeight="1" x14ac:dyDescent="0.15">
      <c r="A8" s="111" t="s">
        <v>147</v>
      </c>
      <c r="B8" s="109"/>
      <c r="C8" s="109"/>
    </row>
  </sheetData>
  <protectedRanges>
    <protectedRange sqref="B4:B5" name="Range1"/>
  </protectedRanges>
  <phoneticPr fontId="17" type="noConversion"/>
  <pageMargins left="0.7" right="0.7" top="0.75" bottom="0.75" header="0.3" footer="0.3"/>
  <ignoredErrors>
    <ignoredError sqref="B4:B5" unlockedFormula="1"/>
  </ignoredErrors>
  <tableParts count="1">
    <tablePart r:id="rId1"/>
  </tablePart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85"/>
  <sheetViews>
    <sheetView workbookViewId="0">
      <selection activeCell="N22" sqref="N22"/>
    </sheetView>
  </sheetViews>
  <sheetFormatPr baseColWidth="10" defaultColWidth="8.6640625" defaultRowHeight="15" x14ac:dyDescent="0.2"/>
  <cols>
    <col min="1" max="1" width="23.5" style="159" customWidth="1"/>
    <col min="2" max="2" width="45.6640625" style="159" customWidth="1"/>
    <col min="3" max="3" width="11.6640625" style="196" customWidth="1"/>
    <col min="4" max="4" width="9.6640625" style="196" customWidth="1"/>
    <col min="5" max="6" width="10.33203125" style="196" customWidth="1"/>
    <col min="7" max="7" width="12.1640625" style="196" customWidth="1"/>
    <col min="8" max="8" width="16.83203125" style="196" customWidth="1"/>
    <col min="9" max="9" width="56.5" style="159" customWidth="1"/>
    <col min="10" max="10" width="15.33203125" style="158" customWidth="1"/>
    <col min="11" max="11" width="16.5" style="159" customWidth="1"/>
    <col min="12" max="12" width="8.6640625" style="158"/>
    <col min="13" max="16384" width="8.6640625" style="159"/>
  </cols>
  <sheetData>
    <row r="1" spans="1:12" s="198" customFormat="1" ht="30" customHeight="1" x14ac:dyDescent="0.2">
      <c r="A1" s="267" t="s">
        <v>479</v>
      </c>
      <c r="B1" s="267"/>
      <c r="C1" s="268"/>
      <c r="D1" s="268"/>
      <c r="E1" s="268"/>
      <c r="F1" s="268"/>
      <c r="G1" s="268"/>
      <c r="H1" s="268"/>
      <c r="I1" s="269"/>
      <c r="J1"/>
      <c r="K1" s="197"/>
      <c r="L1"/>
    </row>
    <row r="2" spans="1:12" ht="30" x14ac:dyDescent="0.2">
      <c r="A2" s="160" t="s">
        <v>219</v>
      </c>
      <c r="B2" s="161" t="s">
        <v>57</v>
      </c>
      <c r="C2" s="162" t="s">
        <v>109</v>
      </c>
      <c r="D2" s="162" t="s">
        <v>16</v>
      </c>
      <c r="E2" s="162" t="s">
        <v>17</v>
      </c>
      <c r="F2" s="162" t="s">
        <v>18</v>
      </c>
      <c r="G2" s="162" t="s">
        <v>19</v>
      </c>
      <c r="H2" s="163" t="s">
        <v>148</v>
      </c>
      <c r="I2" s="164" t="s">
        <v>149</v>
      </c>
      <c r="K2" s="165"/>
    </row>
    <row r="3" spans="1:12" ht="18" customHeight="1" x14ac:dyDescent="0.2">
      <c r="A3" s="166" t="s">
        <v>416</v>
      </c>
      <c r="B3" s="167" t="s">
        <v>266</v>
      </c>
      <c r="C3" s="216">
        <v>0</v>
      </c>
      <c r="D3" s="216">
        <v>0</v>
      </c>
      <c r="E3" s="216">
        <v>0</v>
      </c>
      <c r="F3" s="217">
        <v>3.14</v>
      </c>
      <c r="G3" s="217">
        <f>$F$3</f>
        <v>3.14</v>
      </c>
      <c r="H3" s="217">
        <f>$F$3</f>
        <v>3.14</v>
      </c>
      <c r="I3" s="168" t="s">
        <v>447</v>
      </c>
      <c r="K3" s="165"/>
    </row>
    <row r="4" spans="1:12" ht="18" customHeight="1" x14ac:dyDescent="0.2">
      <c r="A4" s="166" t="s">
        <v>416</v>
      </c>
      <c r="B4" s="167" t="s">
        <v>268</v>
      </c>
      <c r="C4" s="216">
        <v>0</v>
      </c>
      <c r="D4" s="216">
        <v>0</v>
      </c>
      <c r="E4" s="216">
        <v>0</v>
      </c>
      <c r="F4" s="217">
        <v>2.5499999999999998</v>
      </c>
      <c r="G4" s="217">
        <f>$F4</f>
        <v>2.5499999999999998</v>
      </c>
      <c r="H4" s="217">
        <f>$F4</f>
        <v>2.5499999999999998</v>
      </c>
      <c r="I4" s="169" t="s">
        <v>267</v>
      </c>
    </row>
    <row r="5" spans="1:12" ht="18" customHeight="1" x14ac:dyDescent="0.2">
      <c r="A5" s="166" t="s">
        <v>416</v>
      </c>
      <c r="B5" s="167" t="s">
        <v>269</v>
      </c>
      <c r="C5" s="216">
        <v>0</v>
      </c>
      <c r="D5" s="216">
        <v>0</v>
      </c>
      <c r="E5" s="216">
        <v>0</v>
      </c>
      <c r="F5" s="217">
        <v>1.52</v>
      </c>
      <c r="G5" s="217">
        <f>$F5</f>
        <v>1.52</v>
      </c>
      <c r="H5" s="217">
        <f>$F5</f>
        <v>1.52</v>
      </c>
      <c r="I5" s="169" t="s">
        <v>448</v>
      </c>
    </row>
    <row r="6" spans="1:12" ht="18" customHeight="1" x14ac:dyDescent="0.2">
      <c r="A6" s="166" t="s">
        <v>416</v>
      </c>
      <c r="B6" s="167" t="s">
        <v>270</v>
      </c>
      <c r="C6" s="216">
        <v>0</v>
      </c>
      <c r="D6" s="216">
        <v>0</v>
      </c>
      <c r="E6" s="216">
        <v>0</v>
      </c>
      <c r="F6" s="217">
        <v>0.04</v>
      </c>
      <c r="G6" s="217">
        <f t="shared" ref="G6:H11" si="0">$F6</f>
        <v>0.04</v>
      </c>
      <c r="H6" s="217">
        <f t="shared" si="0"/>
        <v>0.04</v>
      </c>
      <c r="I6" s="169"/>
    </row>
    <row r="7" spans="1:12" ht="18" customHeight="1" x14ac:dyDescent="0.2">
      <c r="A7" s="170" t="s">
        <v>462</v>
      </c>
      <c r="B7" s="171" t="s">
        <v>150</v>
      </c>
      <c r="C7" s="216">
        <v>0</v>
      </c>
      <c r="D7" s="216">
        <v>0</v>
      </c>
      <c r="E7" s="216">
        <v>0</v>
      </c>
      <c r="F7" s="218">
        <v>4000</v>
      </c>
      <c r="G7" s="218">
        <v>14000</v>
      </c>
      <c r="H7" s="218">
        <v>18000</v>
      </c>
      <c r="I7" s="169" t="s">
        <v>151</v>
      </c>
    </row>
    <row r="8" spans="1:12" ht="18" customHeight="1" x14ac:dyDescent="0.2">
      <c r="A8" s="170" t="s">
        <v>462</v>
      </c>
      <c r="B8" s="164" t="s">
        <v>463</v>
      </c>
      <c r="C8" s="216">
        <v>0</v>
      </c>
      <c r="D8" s="216">
        <v>0</v>
      </c>
      <c r="E8" s="216">
        <v>0</v>
      </c>
      <c r="F8" s="219">
        <v>0.13</v>
      </c>
      <c r="G8" s="219">
        <f t="shared" si="0"/>
        <v>0.13</v>
      </c>
      <c r="H8" s="219">
        <f t="shared" si="0"/>
        <v>0.13</v>
      </c>
      <c r="I8" s="169"/>
      <c r="K8" s="165"/>
    </row>
    <row r="9" spans="1:12" ht="18" customHeight="1" x14ac:dyDescent="0.2">
      <c r="A9" s="170" t="s">
        <v>462</v>
      </c>
      <c r="B9" s="164" t="s">
        <v>464</v>
      </c>
      <c r="C9" s="216">
        <v>0</v>
      </c>
      <c r="D9" s="216">
        <v>0</v>
      </c>
      <c r="E9" s="216">
        <v>0</v>
      </c>
      <c r="F9" s="219">
        <v>0.35</v>
      </c>
      <c r="G9" s="219">
        <f t="shared" si="0"/>
        <v>0.35</v>
      </c>
      <c r="H9" s="219">
        <f t="shared" si="0"/>
        <v>0.35</v>
      </c>
      <c r="I9" s="169"/>
      <c r="K9" s="165"/>
    </row>
    <row r="10" spans="1:12" ht="18" customHeight="1" x14ac:dyDescent="0.2">
      <c r="A10" s="170" t="s">
        <v>462</v>
      </c>
      <c r="B10" s="164" t="s">
        <v>465</v>
      </c>
      <c r="C10" s="216">
        <v>0</v>
      </c>
      <c r="D10" s="216">
        <v>0</v>
      </c>
      <c r="E10" s="216">
        <v>0</v>
      </c>
      <c r="F10" s="219">
        <v>0.3</v>
      </c>
      <c r="G10" s="219">
        <f t="shared" si="0"/>
        <v>0.3</v>
      </c>
      <c r="H10" s="219">
        <f t="shared" si="0"/>
        <v>0.3</v>
      </c>
      <c r="I10" s="169"/>
      <c r="K10" s="165"/>
    </row>
    <row r="11" spans="1:12" ht="18" customHeight="1" x14ac:dyDescent="0.2">
      <c r="A11" s="172" t="s">
        <v>462</v>
      </c>
      <c r="B11" s="173" t="s">
        <v>467</v>
      </c>
      <c r="C11" s="216">
        <v>0</v>
      </c>
      <c r="D11" s="220">
        <v>0</v>
      </c>
      <c r="E11" s="220">
        <v>0</v>
      </c>
      <c r="F11" s="221">
        <v>0.22</v>
      </c>
      <c r="G11" s="219">
        <f t="shared" si="0"/>
        <v>0.22</v>
      </c>
      <c r="H11" s="219">
        <f t="shared" si="0"/>
        <v>0.22</v>
      </c>
      <c r="I11" s="174"/>
    </row>
    <row r="12" spans="1:12" ht="54" customHeight="1" x14ac:dyDescent="0.2">
      <c r="A12" s="160" t="s">
        <v>90</v>
      </c>
      <c r="B12" s="161" t="s">
        <v>152</v>
      </c>
      <c r="C12" s="222">
        <v>18000</v>
      </c>
      <c r="D12" s="216">
        <v>0</v>
      </c>
      <c r="E12" s="216">
        <v>0</v>
      </c>
      <c r="F12" s="216">
        <v>0</v>
      </c>
      <c r="G12" s="223">
        <v>0</v>
      </c>
      <c r="H12" s="223">
        <v>0</v>
      </c>
      <c r="I12" s="175" t="s">
        <v>440</v>
      </c>
    </row>
    <row r="13" spans="1:12" ht="18" customHeight="1" x14ac:dyDescent="0.2">
      <c r="A13" s="176" t="s">
        <v>417</v>
      </c>
      <c r="B13" s="177" t="s">
        <v>158</v>
      </c>
      <c r="C13" s="224">
        <v>1200</v>
      </c>
      <c r="D13" s="225">
        <v>0</v>
      </c>
      <c r="E13" s="225">
        <v>0</v>
      </c>
      <c r="F13" s="225">
        <v>0</v>
      </c>
      <c r="G13" s="225">
        <v>0</v>
      </c>
      <c r="H13" s="225">
        <v>0</v>
      </c>
      <c r="I13" s="177" t="s">
        <v>159</v>
      </c>
    </row>
    <row r="14" spans="1:12" ht="18" customHeight="1" x14ac:dyDescent="0.2">
      <c r="A14" s="178" t="s">
        <v>417</v>
      </c>
      <c r="B14" s="164" t="s">
        <v>153</v>
      </c>
      <c r="C14" s="217">
        <v>1000</v>
      </c>
      <c r="D14" s="216">
        <v>0</v>
      </c>
      <c r="E14" s="216">
        <v>0</v>
      </c>
      <c r="F14" s="216">
        <v>0</v>
      </c>
      <c r="G14" s="216">
        <v>0</v>
      </c>
      <c r="H14" s="216">
        <v>0</v>
      </c>
      <c r="I14" s="164"/>
    </row>
    <row r="15" spans="1:12" ht="18" customHeight="1" x14ac:dyDescent="0.2">
      <c r="A15" s="178" t="s">
        <v>417</v>
      </c>
      <c r="B15" s="164" t="s">
        <v>154</v>
      </c>
      <c r="C15" s="217">
        <v>300</v>
      </c>
      <c r="D15" s="216">
        <v>0</v>
      </c>
      <c r="E15" s="216">
        <v>0</v>
      </c>
      <c r="F15" s="216">
        <v>0</v>
      </c>
      <c r="G15" s="216">
        <v>0</v>
      </c>
      <c r="H15" s="216">
        <v>0</v>
      </c>
      <c r="I15" s="164" t="s">
        <v>272</v>
      </c>
    </row>
    <row r="16" spans="1:12" ht="18" customHeight="1" x14ac:dyDescent="0.2">
      <c r="A16" s="178" t="s">
        <v>417</v>
      </c>
      <c r="B16" s="164" t="s">
        <v>273</v>
      </c>
      <c r="C16" s="217">
        <v>300</v>
      </c>
      <c r="D16" s="216">
        <v>0</v>
      </c>
      <c r="E16" s="216">
        <v>0</v>
      </c>
      <c r="F16" s="216">
        <v>0</v>
      </c>
      <c r="G16" s="216">
        <v>0</v>
      </c>
      <c r="H16" s="216">
        <v>0</v>
      </c>
      <c r="I16" s="164" t="s">
        <v>155</v>
      </c>
    </row>
    <row r="17" spans="1:11" ht="18" customHeight="1" x14ac:dyDescent="0.2">
      <c r="A17" s="178" t="s">
        <v>417</v>
      </c>
      <c r="B17" s="164" t="s">
        <v>156</v>
      </c>
      <c r="C17" s="226">
        <v>0.5</v>
      </c>
      <c r="D17" s="216">
        <v>0</v>
      </c>
      <c r="E17" s="216">
        <v>0</v>
      </c>
      <c r="F17" s="216">
        <v>0</v>
      </c>
      <c r="G17" s="216">
        <v>0</v>
      </c>
      <c r="H17" s="216">
        <v>0</v>
      </c>
      <c r="I17" s="164"/>
    </row>
    <row r="18" spans="1:11" ht="18" customHeight="1" x14ac:dyDescent="0.2">
      <c r="A18" s="172" t="s">
        <v>417</v>
      </c>
      <c r="B18" s="173" t="s">
        <v>157</v>
      </c>
      <c r="C18" s="227">
        <f>$C82</f>
        <v>22.63</v>
      </c>
      <c r="D18" s="220">
        <v>0</v>
      </c>
      <c r="E18" s="220">
        <v>0</v>
      </c>
      <c r="F18" s="220">
        <v>0</v>
      </c>
      <c r="G18" s="220">
        <v>0</v>
      </c>
      <c r="H18" s="220">
        <v>0</v>
      </c>
      <c r="I18" s="173"/>
    </row>
    <row r="19" spans="1:11" ht="18" customHeight="1" x14ac:dyDescent="0.2">
      <c r="A19" s="178" t="s">
        <v>160</v>
      </c>
      <c r="B19" s="164" t="s">
        <v>161</v>
      </c>
      <c r="C19" s="218">
        <f>$C$79</f>
        <v>519</v>
      </c>
      <c r="D19" s="216">
        <v>0</v>
      </c>
      <c r="E19" s="216">
        <v>0</v>
      </c>
      <c r="F19" s="216">
        <v>0</v>
      </c>
      <c r="G19" s="216">
        <v>0</v>
      </c>
      <c r="H19" s="216">
        <v>0</v>
      </c>
      <c r="I19" s="164"/>
    </row>
    <row r="20" spans="1:11" ht="18" customHeight="1" x14ac:dyDescent="0.2">
      <c r="A20" s="178" t="s">
        <v>160</v>
      </c>
      <c r="B20" s="164" t="s">
        <v>162</v>
      </c>
      <c r="C20" s="217">
        <v>13.5</v>
      </c>
      <c r="D20" s="216">
        <v>0</v>
      </c>
      <c r="E20" s="216">
        <v>0</v>
      </c>
      <c r="F20" s="216">
        <v>0</v>
      </c>
      <c r="G20" s="216">
        <v>0</v>
      </c>
      <c r="H20" s="216">
        <v>0</v>
      </c>
      <c r="I20" s="180"/>
    </row>
    <row r="21" spans="1:11" ht="18" customHeight="1" x14ac:dyDescent="0.2">
      <c r="A21" s="172" t="s">
        <v>160</v>
      </c>
      <c r="B21" s="173" t="s">
        <v>275</v>
      </c>
      <c r="C21" s="227">
        <v>500</v>
      </c>
      <c r="D21" s="220">
        <v>0</v>
      </c>
      <c r="E21" s="220">
        <v>0</v>
      </c>
      <c r="F21" s="220">
        <v>0</v>
      </c>
      <c r="G21" s="220">
        <v>0</v>
      </c>
      <c r="H21" s="220">
        <v>0</v>
      </c>
      <c r="I21" s="173"/>
    </row>
    <row r="22" spans="1:11" ht="18" customHeight="1" x14ac:dyDescent="0.2">
      <c r="A22" s="160" t="s">
        <v>38</v>
      </c>
      <c r="B22" s="181" t="s">
        <v>164</v>
      </c>
      <c r="C22" s="222">
        <v>3500</v>
      </c>
      <c r="D22" s="220">
        <v>0</v>
      </c>
      <c r="E22" s="220">
        <v>0</v>
      </c>
      <c r="F22" s="220">
        <v>0</v>
      </c>
      <c r="G22" s="220">
        <v>0</v>
      </c>
      <c r="H22" s="220">
        <v>0</v>
      </c>
      <c r="I22" s="182"/>
      <c r="K22" s="165"/>
    </row>
    <row r="23" spans="1:11" ht="18" customHeight="1" x14ac:dyDescent="0.2">
      <c r="A23" s="183" t="s">
        <v>368</v>
      </c>
      <c r="B23" s="184" t="s">
        <v>372</v>
      </c>
      <c r="C23" s="216">
        <v>0</v>
      </c>
      <c r="D23" s="216">
        <v>0</v>
      </c>
      <c r="E23" s="216">
        <v>0</v>
      </c>
      <c r="F23" s="216">
        <v>0</v>
      </c>
      <c r="G23" s="216">
        <v>0</v>
      </c>
      <c r="H23" s="216">
        <v>0</v>
      </c>
      <c r="I23" s="185"/>
      <c r="K23" s="165"/>
    </row>
    <row r="24" spans="1:11" ht="18" customHeight="1" x14ac:dyDescent="0.2">
      <c r="A24" s="172" t="s">
        <v>368</v>
      </c>
      <c r="B24" s="186" t="s">
        <v>306</v>
      </c>
      <c r="C24" s="220">
        <v>0</v>
      </c>
      <c r="D24" s="220">
        <v>0</v>
      </c>
      <c r="E24" s="220">
        <v>0</v>
      </c>
      <c r="F24" s="220">
        <v>0</v>
      </c>
      <c r="G24" s="220">
        <v>0</v>
      </c>
      <c r="H24" s="220">
        <v>0</v>
      </c>
      <c r="I24" s="187"/>
      <c r="K24" s="165"/>
    </row>
    <row r="25" spans="1:11" ht="18" customHeight="1" x14ac:dyDescent="0.2">
      <c r="A25" s="176" t="s">
        <v>165</v>
      </c>
      <c r="B25" s="164" t="s">
        <v>305</v>
      </c>
      <c r="C25" s="216">
        <v>0</v>
      </c>
      <c r="D25" s="216">
        <v>0</v>
      </c>
      <c r="E25" s="216">
        <v>0</v>
      </c>
      <c r="F25" s="216">
        <v>0</v>
      </c>
      <c r="G25" s="216">
        <v>0</v>
      </c>
      <c r="H25" s="216">
        <v>0</v>
      </c>
      <c r="I25" s="188"/>
      <c r="K25" s="165"/>
    </row>
    <row r="26" spans="1:11" ht="18" customHeight="1" x14ac:dyDescent="0.2">
      <c r="A26" s="172" t="s">
        <v>165</v>
      </c>
      <c r="B26" s="164" t="s">
        <v>306</v>
      </c>
      <c r="C26" s="216">
        <v>0</v>
      </c>
      <c r="D26" s="220">
        <v>0</v>
      </c>
      <c r="E26" s="220">
        <v>0</v>
      </c>
      <c r="F26" s="220">
        <v>0</v>
      </c>
      <c r="G26" s="220">
        <v>0</v>
      </c>
      <c r="H26" s="220">
        <v>0</v>
      </c>
      <c r="I26" s="189"/>
      <c r="K26" s="165"/>
    </row>
    <row r="27" spans="1:11" ht="18" customHeight="1" x14ac:dyDescent="0.2">
      <c r="A27" s="176" t="s">
        <v>415</v>
      </c>
      <c r="B27" s="177" t="s">
        <v>166</v>
      </c>
      <c r="C27" s="224">
        <v>2700</v>
      </c>
      <c r="D27" s="216">
        <v>0</v>
      </c>
      <c r="E27" s="216">
        <v>0</v>
      </c>
      <c r="F27" s="216">
        <v>0</v>
      </c>
      <c r="G27" s="216">
        <v>0</v>
      </c>
      <c r="H27" s="216">
        <v>0</v>
      </c>
      <c r="I27" s="190"/>
      <c r="K27" s="190"/>
    </row>
    <row r="28" spans="1:11" ht="18" customHeight="1" x14ac:dyDescent="0.2">
      <c r="A28" s="178" t="s">
        <v>415</v>
      </c>
      <c r="B28" s="164" t="s">
        <v>277</v>
      </c>
      <c r="C28" s="228">
        <v>50</v>
      </c>
      <c r="D28" s="216">
        <v>0</v>
      </c>
      <c r="E28" s="216">
        <v>0</v>
      </c>
      <c r="F28" s="216">
        <v>0</v>
      </c>
      <c r="G28" s="216">
        <v>0</v>
      </c>
      <c r="H28" s="216">
        <v>0</v>
      </c>
      <c r="I28" s="190"/>
      <c r="K28" s="190"/>
    </row>
    <row r="29" spans="1:11" ht="18" customHeight="1" x14ac:dyDescent="0.2">
      <c r="A29" s="172" t="s">
        <v>415</v>
      </c>
      <c r="B29" s="173" t="s">
        <v>278</v>
      </c>
      <c r="C29" s="227">
        <f>$C82</f>
        <v>22.63</v>
      </c>
      <c r="D29" s="220">
        <v>0</v>
      </c>
      <c r="E29" s="220">
        <v>0</v>
      </c>
      <c r="F29" s="220">
        <v>0</v>
      </c>
      <c r="G29" s="220">
        <v>0</v>
      </c>
      <c r="H29" s="220">
        <v>0</v>
      </c>
      <c r="I29" s="191"/>
      <c r="K29" s="190"/>
    </row>
    <row r="30" spans="1:11" ht="18" customHeight="1" x14ac:dyDescent="0.2">
      <c r="A30" s="164" t="s">
        <v>36</v>
      </c>
      <c r="B30" s="184" t="s">
        <v>167</v>
      </c>
      <c r="C30" s="216">
        <v>0</v>
      </c>
      <c r="D30" s="216">
        <v>0</v>
      </c>
      <c r="E30" s="216">
        <v>0</v>
      </c>
      <c r="F30" s="216">
        <v>0</v>
      </c>
      <c r="G30" s="216">
        <v>0</v>
      </c>
      <c r="H30" s="216">
        <v>0</v>
      </c>
      <c r="I30" s="190" t="s">
        <v>434</v>
      </c>
      <c r="K30" s="165"/>
    </row>
    <row r="31" spans="1:11" ht="18" customHeight="1" x14ac:dyDescent="0.2">
      <c r="A31" s="173" t="s">
        <v>36</v>
      </c>
      <c r="B31" s="186" t="s">
        <v>168</v>
      </c>
      <c r="C31" s="220">
        <v>0</v>
      </c>
      <c r="D31" s="220">
        <v>0</v>
      </c>
      <c r="E31" s="220">
        <v>0</v>
      </c>
      <c r="F31" s="220">
        <v>0</v>
      </c>
      <c r="G31" s="220">
        <v>0</v>
      </c>
      <c r="H31" s="220">
        <v>0</v>
      </c>
      <c r="I31" s="191"/>
      <c r="K31" s="165"/>
    </row>
    <row r="32" spans="1:11" ht="18" customHeight="1" x14ac:dyDescent="0.2">
      <c r="A32" s="161" t="s">
        <v>37</v>
      </c>
      <c r="B32" s="181" t="s">
        <v>169</v>
      </c>
      <c r="C32" s="220">
        <v>0</v>
      </c>
      <c r="D32" s="220">
        <v>0</v>
      </c>
      <c r="E32" s="220">
        <v>0</v>
      </c>
      <c r="F32" s="220">
        <v>0</v>
      </c>
      <c r="G32" s="220">
        <v>0</v>
      </c>
      <c r="H32" s="220">
        <v>0</v>
      </c>
      <c r="I32" s="191" t="s">
        <v>276</v>
      </c>
      <c r="K32" s="190"/>
    </row>
    <row r="33" spans="1:11" ht="18" customHeight="1" x14ac:dyDescent="0.2">
      <c r="A33" s="176" t="s">
        <v>414</v>
      </c>
      <c r="B33" s="184" t="s">
        <v>170</v>
      </c>
      <c r="C33" s="229">
        <v>5</v>
      </c>
      <c r="D33" s="229">
        <v>5</v>
      </c>
      <c r="E33" s="229">
        <v>8</v>
      </c>
      <c r="F33" s="229">
        <v>32</v>
      </c>
      <c r="G33" s="229">
        <v>40</v>
      </c>
      <c r="H33" s="229">
        <v>40</v>
      </c>
      <c r="I33" s="164"/>
      <c r="K33" s="158"/>
    </row>
    <row r="34" spans="1:11" ht="18" customHeight="1" x14ac:dyDescent="0.2">
      <c r="A34" s="178" t="s">
        <v>414</v>
      </c>
      <c r="B34" s="186" t="s">
        <v>163</v>
      </c>
      <c r="C34" s="227">
        <f t="shared" ref="C34:H34" si="1">C$81</f>
        <v>21.63</v>
      </c>
      <c r="D34" s="227">
        <f t="shared" si="1"/>
        <v>21.63</v>
      </c>
      <c r="E34" s="227">
        <f t="shared" si="1"/>
        <v>21.63</v>
      </c>
      <c r="F34" s="227">
        <f t="shared" si="1"/>
        <v>21.63</v>
      </c>
      <c r="G34" s="227">
        <f t="shared" si="1"/>
        <v>21.63</v>
      </c>
      <c r="H34" s="227">
        <f t="shared" si="1"/>
        <v>21.63</v>
      </c>
      <c r="I34" s="191"/>
      <c r="K34" s="158"/>
    </row>
    <row r="35" spans="1:11" ht="18" customHeight="1" x14ac:dyDescent="0.2">
      <c r="A35" s="178" t="s">
        <v>414</v>
      </c>
      <c r="B35" s="164" t="s">
        <v>171</v>
      </c>
      <c r="C35" s="228">
        <v>10</v>
      </c>
      <c r="D35" s="228">
        <v>20</v>
      </c>
      <c r="E35" s="228">
        <v>25</v>
      </c>
      <c r="F35" s="228">
        <v>15</v>
      </c>
      <c r="G35" s="228">
        <v>5</v>
      </c>
      <c r="H35" s="228">
        <v>5</v>
      </c>
      <c r="I35" s="164"/>
      <c r="K35" s="158"/>
    </row>
    <row r="36" spans="1:11" ht="18" customHeight="1" x14ac:dyDescent="0.2">
      <c r="A36" s="172" t="s">
        <v>414</v>
      </c>
      <c r="B36" s="173" t="s">
        <v>163</v>
      </c>
      <c r="C36" s="227">
        <f t="shared" ref="C36:H36" si="2">C$81</f>
        <v>21.63</v>
      </c>
      <c r="D36" s="227">
        <f t="shared" si="2"/>
        <v>21.63</v>
      </c>
      <c r="E36" s="227">
        <f t="shared" si="2"/>
        <v>21.63</v>
      </c>
      <c r="F36" s="227">
        <f t="shared" si="2"/>
        <v>21.63</v>
      </c>
      <c r="G36" s="227">
        <f t="shared" si="2"/>
        <v>21.63</v>
      </c>
      <c r="H36" s="227">
        <f t="shared" si="2"/>
        <v>21.63</v>
      </c>
      <c r="I36" s="191"/>
      <c r="K36" s="158"/>
    </row>
    <row r="37" spans="1:11" ht="18" customHeight="1" x14ac:dyDescent="0.2">
      <c r="A37" s="178" t="s">
        <v>421</v>
      </c>
      <c r="B37" s="184" t="s">
        <v>422</v>
      </c>
      <c r="C37" s="216">
        <v>0</v>
      </c>
      <c r="D37" s="216">
        <v>0</v>
      </c>
      <c r="E37" s="228">
        <v>8</v>
      </c>
      <c r="F37" s="228">
        <v>10</v>
      </c>
      <c r="G37" s="228">
        <v>13</v>
      </c>
      <c r="H37" s="228">
        <v>13</v>
      </c>
      <c r="I37" s="190"/>
      <c r="K37" s="158"/>
    </row>
    <row r="38" spans="1:11" ht="18" customHeight="1" x14ac:dyDescent="0.2">
      <c r="A38" s="172" t="s">
        <v>421</v>
      </c>
      <c r="B38" s="186" t="s">
        <v>163</v>
      </c>
      <c r="C38" s="220">
        <v>0</v>
      </c>
      <c r="D38" s="220">
        <v>0</v>
      </c>
      <c r="E38" s="227">
        <f>E$81</f>
        <v>21.63</v>
      </c>
      <c r="F38" s="227">
        <f t="shared" ref="F38:H38" si="3">F$81</f>
        <v>21.63</v>
      </c>
      <c r="G38" s="227">
        <f t="shared" si="3"/>
        <v>21.63</v>
      </c>
      <c r="H38" s="227">
        <f t="shared" si="3"/>
        <v>21.63</v>
      </c>
      <c r="I38" s="191"/>
      <c r="K38" s="158"/>
    </row>
    <row r="39" spans="1:11" ht="18" customHeight="1" x14ac:dyDescent="0.2">
      <c r="A39" s="178" t="s">
        <v>172</v>
      </c>
      <c r="B39" s="164" t="s">
        <v>279</v>
      </c>
      <c r="C39" s="216">
        <v>0</v>
      </c>
      <c r="D39" s="216">
        <v>0</v>
      </c>
      <c r="E39" s="216">
        <v>0</v>
      </c>
      <c r="F39" s="216">
        <v>0</v>
      </c>
      <c r="G39" s="216">
        <v>0</v>
      </c>
      <c r="H39" s="216">
        <v>0</v>
      </c>
      <c r="I39" s="180"/>
    </row>
    <row r="40" spans="1:11" ht="18" customHeight="1" x14ac:dyDescent="0.2">
      <c r="A40" s="178" t="s">
        <v>172</v>
      </c>
      <c r="B40" s="186" t="s">
        <v>163</v>
      </c>
      <c r="C40" s="227">
        <f t="shared" ref="C40:H40" si="4">C$81</f>
        <v>21.63</v>
      </c>
      <c r="D40" s="227">
        <f t="shared" si="4"/>
        <v>21.63</v>
      </c>
      <c r="E40" s="227">
        <f t="shared" si="4"/>
        <v>21.63</v>
      </c>
      <c r="F40" s="227">
        <f t="shared" si="4"/>
        <v>21.63</v>
      </c>
      <c r="G40" s="227">
        <f t="shared" si="4"/>
        <v>21.63</v>
      </c>
      <c r="H40" s="227">
        <f t="shared" si="4"/>
        <v>21.63</v>
      </c>
      <c r="I40" s="191"/>
      <c r="K40" s="165"/>
    </row>
    <row r="41" spans="1:11" ht="18" customHeight="1" x14ac:dyDescent="0.2">
      <c r="A41" s="178" t="s">
        <v>172</v>
      </c>
      <c r="B41" s="164" t="s">
        <v>280</v>
      </c>
      <c r="C41" s="216">
        <v>0</v>
      </c>
      <c r="D41" s="216">
        <v>0</v>
      </c>
      <c r="E41" s="216">
        <v>0</v>
      </c>
      <c r="F41" s="216">
        <v>0</v>
      </c>
      <c r="G41" s="216">
        <v>0</v>
      </c>
      <c r="H41" s="216">
        <v>0</v>
      </c>
      <c r="I41" s="190"/>
      <c r="J41" s="179"/>
      <c r="K41" s="165"/>
    </row>
    <row r="42" spans="1:11" ht="18" customHeight="1" x14ac:dyDescent="0.2">
      <c r="A42" s="172" t="s">
        <v>172</v>
      </c>
      <c r="B42" s="164" t="s">
        <v>163</v>
      </c>
      <c r="C42" s="227">
        <f t="shared" ref="C42:H42" si="5">C$81</f>
        <v>21.63</v>
      </c>
      <c r="D42" s="227">
        <f t="shared" si="5"/>
        <v>21.63</v>
      </c>
      <c r="E42" s="227">
        <f t="shared" si="5"/>
        <v>21.63</v>
      </c>
      <c r="F42" s="227">
        <f t="shared" si="5"/>
        <v>21.63</v>
      </c>
      <c r="G42" s="227">
        <f t="shared" si="5"/>
        <v>21.63</v>
      </c>
      <c r="H42" s="227">
        <f t="shared" si="5"/>
        <v>21.63</v>
      </c>
      <c r="I42" s="191"/>
      <c r="K42" s="165"/>
    </row>
    <row r="43" spans="1:11" ht="36" customHeight="1" x14ac:dyDescent="0.2">
      <c r="A43" s="176" t="s">
        <v>173</v>
      </c>
      <c r="B43" s="177" t="s">
        <v>174</v>
      </c>
      <c r="C43" s="217">
        <v>470</v>
      </c>
      <c r="D43" s="217">
        <v>840</v>
      </c>
      <c r="E43" s="217">
        <v>1270</v>
      </c>
      <c r="F43" s="217">
        <v>1390</v>
      </c>
      <c r="G43" s="217">
        <v>1460</v>
      </c>
      <c r="H43" s="217">
        <v>1460</v>
      </c>
      <c r="I43" s="185" t="s">
        <v>301</v>
      </c>
      <c r="K43" s="158"/>
    </row>
    <row r="44" spans="1:11" ht="18" customHeight="1" x14ac:dyDescent="0.2">
      <c r="A44" s="178" t="s">
        <v>173</v>
      </c>
      <c r="B44" s="164" t="s">
        <v>175</v>
      </c>
      <c r="C44" s="226">
        <v>8</v>
      </c>
      <c r="D44" s="226">
        <v>8</v>
      </c>
      <c r="E44" s="226">
        <v>13</v>
      </c>
      <c r="F44" s="226">
        <v>18</v>
      </c>
      <c r="G44" s="226">
        <v>18</v>
      </c>
      <c r="H44" s="226">
        <v>18</v>
      </c>
      <c r="I44" s="169"/>
      <c r="K44" s="158"/>
    </row>
    <row r="45" spans="1:11" ht="18" customHeight="1" x14ac:dyDescent="0.2">
      <c r="A45" s="172" t="s">
        <v>173</v>
      </c>
      <c r="B45" s="173" t="s">
        <v>163</v>
      </c>
      <c r="C45" s="227">
        <f>$C82</f>
        <v>22.63</v>
      </c>
      <c r="D45" s="227">
        <f t="shared" ref="D45:H45" si="6">$C82</f>
        <v>22.63</v>
      </c>
      <c r="E45" s="227">
        <f t="shared" si="6"/>
        <v>22.63</v>
      </c>
      <c r="F45" s="227">
        <f t="shared" si="6"/>
        <v>22.63</v>
      </c>
      <c r="G45" s="227">
        <f t="shared" si="6"/>
        <v>22.63</v>
      </c>
      <c r="H45" s="227">
        <f t="shared" si="6"/>
        <v>22.63</v>
      </c>
      <c r="I45" s="187"/>
      <c r="K45" s="158"/>
    </row>
    <row r="46" spans="1:11" ht="18" customHeight="1" x14ac:dyDescent="0.2">
      <c r="A46" s="178" t="s">
        <v>176</v>
      </c>
      <c r="B46" s="164" t="s">
        <v>177</v>
      </c>
      <c r="C46" s="217">
        <v>70</v>
      </c>
      <c r="D46" s="217">
        <v>140</v>
      </c>
      <c r="E46" s="217">
        <v>210</v>
      </c>
      <c r="F46" s="217">
        <v>230</v>
      </c>
      <c r="G46" s="217">
        <v>230</v>
      </c>
      <c r="H46" s="217">
        <v>230</v>
      </c>
      <c r="I46" s="169" t="s">
        <v>178</v>
      </c>
      <c r="K46" s="158"/>
    </row>
    <row r="47" spans="1:11" ht="18" customHeight="1" x14ac:dyDescent="0.2">
      <c r="A47" s="178" t="s">
        <v>176</v>
      </c>
      <c r="B47" s="164" t="s">
        <v>179</v>
      </c>
      <c r="C47" s="228">
        <v>5</v>
      </c>
      <c r="D47" s="228">
        <v>5</v>
      </c>
      <c r="E47" s="228">
        <v>5</v>
      </c>
      <c r="F47" s="228">
        <v>8</v>
      </c>
      <c r="G47" s="228">
        <v>8</v>
      </c>
      <c r="H47" s="228">
        <v>8</v>
      </c>
      <c r="I47" s="180"/>
      <c r="K47" s="158"/>
    </row>
    <row r="48" spans="1:11" ht="18" customHeight="1" x14ac:dyDescent="0.2">
      <c r="A48" s="172" t="s">
        <v>176</v>
      </c>
      <c r="B48" s="173" t="s">
        <v>163</v>
      </c>
      <c r="C48" s="227">
        <f>C$82</f>
        <v>22.63</v>
      </c>
      <c r="D48" s="227">
        <f t="shared" ref="D48:H48" si="7">D$82</f>
        <v>22.63</v>
      </c>
      <c r="E48" s="227">
        <f t="shared" si="7"/>
        <v>22.63</v>
      </c>
      <c r="F48" s="227">
        <f t="shared" si="7"/>
        <v>22.63</v>
      </c>
      <c r="G48" s="227">
        <f t="shared" si="7"/>
        <v>22.63</v>
      </c>
      <c r="H48" s="227">
        <f t="shared" si="7"/>
        <v>22.63</v>
      </c>
      <c r="I48" s="191"/>
      <c r="K48" s="165"/>
    </row>
    <row r="49" spans="1:11" ht="18" customHeight="1" x14ac:dyDescent="0.2">
      <c r="A49" s="178" t="s">
        <v>180</v>
      </c>
      <c r="B49" s="164" t="s">
        <v>181</v>
      </c>
      <c r="C49" s="217">
        <v>155</v>
      </c>
      <c r="D49" s="217">
        <v>155</v>
      </c>
      <c r="E49" s="217">
        <v>155</v>
      </c>
      <c r="F49" s="217">
        <v>155</v>
      </c>
      <c r="G49" s="217">
        <v>155</v>
      </c>
      <c r="H49" s="217">
        <v>155</v>
      </c>
      <c r="I49" s="190"/>
      <c r="K49" s="165"/>
    </row>
    <row r="50" spans="1:11" ht="18" customHeight="1" x14ac:dyDescent="0.2">
      <c r="A50" s="178" t="s">
        <v>180</v>
      </c>
      <c r="B50" s="164" t="s">
        <v>182</v>
      </c>
      <c r="C50" s="217">
        <v>120</v>
      </c>
      <c r="D50" s="217">
        <v>120</v>
      </c>
      <c r="E50" s="217">
        <v>120</v>
      </c>
      <c r="F50" s="217">
        <v>120</v>
      </c>
      <c r="G50" s="217">
        <v>120</v>
      </c>
      <c r="H50" s="217">
        <v>120</v>
      </c>
      <c r="I50" s="190"/>
      <c r="K50" s="165"/>
    </row>
    <row r="51" spans="1:11" ht="18" customHeight="1" x14ac:dyDescent="0.2">
      <c r="A51" s="178" t="s">
        <v>183</v>
      </c>
      <c r="B51" s="164" t="s">
        <v>184</v>
      </c>
      <c r="C51" s="228">
        <v>10</v>
      </c>
      <c r="D51" s="228">
        <v>10</v>
      </c>
      <c r="E51" s="228">
        <v>10</v>
      </c>
      <c r="F51" s="228">
        <v>10</v>
      </c>
      <c r="G51" s="228">
        <v>10</v>
      </c>
      <c r="H51" s="228">
        <v>10</v>
      </c>
      <c r="I51" s="164"/>
    </row>
    <row r="52" spans="1:11" ht="18" customHeight="1" x14ac:dyDescent="0.2">
      <c r="A52" s="172" t="s">
        <v>180</v>
      </c>
      <c r="B52" s="173" t="s">
        <v>163</v>
      </c>
      <c r="C52" s="227">
        <f t="shared" ref="C52:H52" si="8">C$82</f>
        <v>22.63</v>
      </c>
      <c r="D52" s="227">
        <f t="shared" si="8"/>
        <v>22.63</v>
      </c>
      <c r="E52" s="227">
        <f t="shared" si="8"/>
        <v>22.63</v>
      </c>
      <c r="F52" s="227">
        <f t="shared" si="8"/>
        <v>22.63</v>
      </c>
      <c r="G52" s="227">
        <f t="shared" si="8"/>
        <v>22.63</v>
      </c>
      <c r="H52" s="227">
        <f t="shared" si="8"/>
        <v>22.63</v>
      </c>
      <c r="I52" s="191"/>
      <c r="K52" s="165"/>
    </row>
    <row r="53" spans="1:11" ht="18" customHeight="1" x14ac:dyDescent="0.2">
      <c r="A53" s="178" t="s">
        <v>185</v>
      </c>
      <c r="B53" s="164" t="s">
        <v>186</v>
      </c>
      <c r="C53" s="216">
        <v>0</v>
      </c>
      <c r="D53" s="216">
        <v>0</v>
      </c>
      <c r="E53" s="216">
        <v>0</v>
      </c>
      <c r="F53" s="217">
        <v>65</v>
      </c>
      <c r="G53" s="217">
        <v>65</v>
      </c>
      <c r="H53" s="217">
        <v>65</v>
      </c>
      <c r="I53" s="190"/>
      <c r="K53" s="165"/>
    </row>
    <row r="54" spans="1:11" ht="18" customHeight="1" x14ac:dyDescent="0.2">
      <c r="A54" s="172" t="s">
        <v>185</v>
      </c>
      <c r="B54" s="173" t="s">
        <v>187</v>
      </c>
      <c r="C54" s="220">
        <v>0</v>
      </c>
      <c r="D54" s="220">
        <v>0</v>
      </c>
      <c r="E54" s="220">
        <v>0</v>
      </c>
      <c r="F54" s="230">
        <v>3</v>
      </c>
      <c r="G54" s="230">
        <v>3</v>
      </c>
      <c r="H54" s="230">
        <v>3</v>
      </c>
      <c r="I54" s="173"/>
    </row>
    <row r="55" spans="1:11" ht="36" customHeight="1" x14ac:dyDescent="0.2">
      <c r="A55" s="160" t="s">
        <v>39</v>
      </c>
      <c r="B55" s="175" t="s">
        <v>307</v>
      </c>
      <c r="C55" s="223">
        <v>0</v>
      </c>
      <c r="D55" s="223">
        <v>0</v>
      </c>
      <c r="E55" s="223">
        <v>0</v>
      </c>
      <c r="F55" s="222">
        <v>4350</v>
      </c>
      <c r="G55" s="223">
        <v>0</v>
      </c>
      <c r="H55" s="223">
        <v>0</v>
      </c>
      <c r="I55" s="175" t="s">
        <v>290</v>
      </c>
    </row>
    <row r="56" spans="1:11" ht="18" customHeight="1" x14ac:dyDescent="0.2">
      <c r="A56" s="178" t="s">
        <v>188</v>
      </c>
      <c r="B56" s="164" t="s">
        <v>189</v>
      </c>
      <c r="C56" s="217">
        <v>20</v>
      </c>
      <c r="D56" s="217">
        <v>20</v>
      </c>
      <c r="E56" s="217">
        <v>20</v>
      </c>
      <c r="F56" s="217">
        <v>20</v>
      </c>
      <c r="G56" s="217">
        <f>F56</f>
        <v>20</v>
      </c>
      <c r="H56" s="217">
        <f>G56</f>
        <v>20</v>
      </c>
      <c r="I56" s="190"/>
      <c r="K56" s="192"/>
    </row>
    <row r="57" spans="1:11" ht="18" customHeight="1" x14ac:dyDescent="0.2">
      <c r="A57" s="178" t="s">
        <v>188</v>
      </c>
      <c r="B57" s="164" t="s">
        <v>190</v>
      </c>
      <c r="C57" s="217">
        <v>30</v>
      </c>
      <c r="D57" s="217">
        <f>C57</f>
        <v>30</v>
      </c>
      <c r="E57" s="217">
        <f t="shared" ref="E57:H57" si="9">D57</f>
        <v>30</v>
      </c>
      <c r="F57" s="217">
        <f t="shared" si="9"/>
        <v>30</v>
      </c>
      <c r="G57" s="217">
        <f t="shared" si="9"/>
        <v>30</v>
      </c>
      <c r="H57" s="217">
        <f t="shared" si="9"/>
        <v>30</v>
      </c>
      <c r="I57" s="190"/>
      <c r="K57" s="192"/>
    </row>
    <row r="58" spans="1:11" ht="18" customHeight="1" x14ac:dyDescent="0.2">
      <c r="A58" s="178" t="s">
        <v>188</v>
      </c>
      <c r="B58" s="164" t="s">
        <v>191</v>
      </c>
      <c r="C58" s="216">
        <v>0</v>
      </c>
      <c r="D58" s="216">
        <v>0</v>
      </c>
      <c r="E58" s="216">
        <v>0</v>
      </c>
      <c r="F58" s="216">
        <v>0</v>
      </c>
      <c r="G58" s="216">
        <v>0</v>
      </c>
      <c r="H58" s="216">
        <v>0</v>
      </c>
      <c r="I58" s="190"/>
      <c r="K58" s="192"/>
    </row>
    <row r="59" spans="1:11" ht="18" customHeight="1" x14ac:dyDescent="0.2">
      <c r="A59" s="178" t="s">
        <v>188</v>
      </c>
      <c r="B59" s="164" t="s">
        <v>192</v>
      </c>
      <c r="C59" s="216">
        <v>0</v>
      </c>
      <c r="D59" s="216">
        <v>0</v>
      </c>
      <c r="E59" s="216">
        <v>0</v>
      </c>
      <c r="F59" s="217">
        <v>35</v>
      </c>
      <c r="G59" s="217">
        <f t="shared" ref="G59:H59" si="10">F59</f>
        <v>35</v>
      </c>
      <c r="H59" s="217">
        <f t="shared" si="10"/>
        <v>35</v>
      </c>
      <c r="I59" s="190"/>
      <c r="K59" s="192"/>
    </row>
    <row r="60" spans="1:11" ht="18" customHeight="1" x14ac:dyDescent="0.2">
      <c r="A60" s="178" t="s">
        <v>188</v>
      </c>
      <c r="B60" s="164" t="s">
        <v>193</v>
      </c>
      <c r="C60" s="217">
        <v>200</v>
      </c>
      <c r="D60" s="217">
        <f>C60</f>
        <v>200</v>
      </c>
      <c r="E60" s="217">
        <f t="shared" ref="E60:H60" si="11">D60</f>
        <v>200</v>
      </c>
      <c r="F60" s="217">
        <f t="shared" si="11"/>
        <v>200</v>
      </c>
      <c r="G60" s="217">
        <f t="shared" si="11"/>
        <v>200</v>
      </c>
      <c r="H60" s="217">
        <f t="shared" si="11"/>
        <v>200</v>
      </c>
      <c r="I60" s="190" t="s">
        <v>281</v>
      </c>
      <c r="K60" s="165"/>
    </row>
    <row r="61" spans="1:11" ht="36" customHeight="1" x14ac:dyDescent="0.2">
      <c r="A61" s="172" t="s">
        <v>188</v>
      </c>
      <c r="B61" s="174" t="s">
        <v>194</v>
      </c>
      <c r="C61" s="227">
        <v>180</v>
      </c>
      <c r="D61" s="227">
        <v>135</v>
      </c>
      <c r="E61" s="227">
        <v>140</v>
      </c>
      <c r="F61" s="227">
        <v>160</v>
      </c>
      <c r="G61" s="227">
        <v>180</v>
      </c>
      <c r="H61" s="227">
        <v>180</v>
      </c>
      <c r="I61" s="191"/>
      <c r="K61" s="165"/>
    </row>
    <row r="62" spans="1:11" ht="36" customHeight="1" x14ac:dyDescent="0.2">
      <c r="A62" s="178" t="s">
        <v>412</v>
      </c>
      <c r="B62" s="164" t="s">
        <v>282</v>
      </c>
      <c r="C62" s="225">
        <v>0</v>
      </c>
      <c r="D62" s="225">
        <v>0</v>
      </c>
      <c r="E62" s="225">
        <v>0</v>
      </c>
      <c r="F62" s="217">
        <v>0.3</v>
      </c>
      <c r="G62" s="217">
        <v>0.27</v>
      </c>
      <c r="H62" s="217">
        <v>0.24</v>
      </c>
      <c r="I62" s="169" t="s">
        <v>419</v>
      </c>
      <c r="K62" s="165"/>
    </row>
    <row r="63" spans="1:11" ht="36" customHeight="1" x14ac:dyDescent="0.2">
      <c r="A63" s="178" t="s">
        <v>412</v>
      </c>
      <c r="B63" s="180" t="s">
        <v>283</v>
      </c>
      <c r="C63" s="216">
        <v>0</v>
      </c>
      <c r="D63" s="216">
        <v>0</v>
      </c>
      <c r="E63" s="216">
        <v>0</v>
      </c>
      <c r="F63" s="217">
        <v>0.15</v>
      </c>
      <c r="G63" s="217">
        <f t="shared" ref="G63:H64" si="12">F63</f>
        <v>0.15</v>
      </c>
      <c r="H63" s="217">
        <f t="shared" si="12"/>
        <v>0.15</v>
      </c>
      <c r="I63" s="190"/>
      <c r="K63" s="192"/>
    </row>
    <row r="64" spans="1:11" ht="36" customHeight="1" x14ac:dyDescent="0.2">
      <c r="A64" s="172" t="s">
        <v>413</v>
      </c>
      <c r="B64" s="173" t="s">
        <v>284</v>
      </c>
      <c r="C64" s="220">
        <v>0</v>
      </c>
      <c r="D64" s="220">
        <v>0</v>
      </c>
      <c r="E64" s="220">
        <v>0</v>
      </c>
      <c r="F64" s="227">
        <v>0.05</v>
      </c>
      <c r="G64" s="227">
        <f t="shared" si="12"/>
        <v>0.05</v>
      </c>
      <c r="H64" s="227">
        <f t="shared" si="12"/>
        <v>0.05</v>
      </c>
      <c r="I64" s="187" t="s">
        <v>195</v>
      </c>
      <c r="K64" s="192"/>
    </row>
    <row r="65" spans="1:11" ht="18" customHeight="1" x14ac:dyDescent="0.2">
      <c r="A65" s="172" t="s">
        <v>196</v>
      </c>
      <c r="B65" s="173" t="s">
        <v>285</v>
      </c>
      <c r="C65" s="220">
        <v>0</v>
      </c>
      <c r="D65" s="220">
        <v>0</v>
      </c>
      <c r="E65" s="220">
        <v>0</v>
      </c>
      <c r="F65" s="227">
        <v>0.85</v>
      </c>
      <c r="G65" s="227">
        <f>F65</f>
        <v>0.85</v>
      </c>
      <c r="H65" s="227">
        <f>G65</f>
        <v>0.85</v>
      </c>
      <c r="I65" s="187"/>
      <c r="K65" s="192"/>
    </row>
    <row r="66" spans="1:11" ht="36" customHeight="1" x14ac:dyDescent="0.2">
      <c r="A66" s="178" t="s">
        <v>197</v>
      </c>
      <c r="B66" s="164" t="s">
        <v>198</v>
      </c>
      <c r="C66" s="217">
        <v>100</v>
      </c>
      <c r="D66" s="217">
        <f>C66</f>
        <v>100</v>
      </c>
      <c r="E66" s="217">
        <f t="shared" ref="E66:H66" si="13">D66</f>
        <v>100</v>
      </c>
      <c r="F66" s="217">
        <f t="shared" si="13"/>
        <v>100</v>
      </c>
      <c r="G66" s="217">
        <f t="shared" si="13"/>
        <v>100</v>
      </c>
      <c r="H66" s="217">
        <f t="shared" si="13"/>
        <v>100</v>
      </c>
      <c r="I66" s="169" t="s">
        <v>199</v>
      </c>
      <c r="K66" s="165"/>
    </row>
    <row r="67" spans="1:11" ht="18" customHeight="1" x14ac:dyDescent="0.2">
      <c r="A67" s="178" t="s">
        <v>197</v>
      </c>
      <c r="B67" s="164" t="s">
        <v>200</v>
      </c>
      <c r="C67" s="217">
        <v>190</v>
      </c>
      <c r="D67" s="217">
        <f t="shared" ref="D67:H72" si="14">C67</f>
        <v>190</v>
      </c>
      <c r="E67" s="217">
        <f t="shared" si="14"/>
        <v>190</v>
      </c>
      <c r="F67" s="217">
        <f t="shared" si="14"/>
        <v>190</v>
      </c>
      <c r="G67" s="217">
        <f t="shared" si="14"/>
        <v>190</v>
      </c>
      <c r="H67" s="217">
        <f t="shared" si="14"/>
        <v>190</v>
      </c>
      <c r="I67" s="190"/>
      <c r="K67" s="165"/>
    </row>
    <row r="68" spans="1:11" ht="18" customHeight="1" x14ac:dyDescent="0.2">
      <c r="A68" s="178" t="s">
        <v>197</v>
      </c>
      <c r="B68" s="164" t="s">
        <v>287</v>
      </c>
      <c r="C68" s="216">
        <v>0</v>
      </c>
      <c r="D68" s="216">
        <v>0</v>
      </c>
      <c r="E68" s="216">
        <v>0</v>
      </c>
      <c r="F68" s="217">
        <v>300</v>
      </c>
      <c r="G68" s="217">
        <f t="shared" si="14"/>
        <v>300</v>
      </c>
      <c r="H68" s="217">
        <f t="shared" si="14"/>
        <v>300</v>
      </c>
      <c r="I68" s="190" t="s">
        <v>288</v>
      </c>
      <c r="K68" s="165"/>
    </row>
    <row r="69" spans="1:11" ht="18" customHeight="1" x14ac:dyDescent="0.2">
      <c r="A69" s="178" t="s">
        <v>197</v>
      </c>
      <c r="B69" s="164" t="s">
        <v>29</v>
      </c>
      <c r="C69" s="217">
        <v>120</v>
      </c>
      <c r="D69" s="217">
        <f t="shared" si="14"/>
        <v>120</v>
      </c>
      <c r="E69" s="217">
        <f t="shared" si="14"/>
        <v>120</v>
      </c>
      <c r="F69" s="217">
        <f t="shared" si="14"/>
        <v>120</v>
      </c>
      <c r="G69" s="217">
        <f t="shared" si="14"/>
        <v>120</v>
      </c>
      <c r="H69" s="217">
        <f t="shared" si="14"/>
        <v>120</v>
      </c>
      <c r="I69" s="190"/>
      <c r="K69" s="165"/>
    </row>
    <row r="70" spans="1:11" ht="18" customHeight="1" x14ac:dyDescent="0.2">
      <c r="A70" s="178" t="s">
        <v>197</v>
      </c>
      <c r="B70" s="164" t="s">
        <v>466</v>
      </c>
      <c r="C70" s="217">
        <v>375</v>
      </c>
      <c r="D70" s="217">
        <f t="shared" si="14"/>
        <v>375</v>
      </c>
      <c r="E70" s="217">
        <f t="shared" si="14"/>
        <v>375</v>
      </c>
      <c r="F70" s="217">
        <f t="shared" si="14"/>
        <v>375</v>
      </c>
      <c r="G70" s="217">
        <f t="shared" si="14"/>
        <v>375</v>
      </c>
      <c r="H70" s="217">
        <f t="shared" si="14"/>
        <v>375</v>
      </c>
      <c r="I70" s="169"/>
      <c r="K70" s="165"/>
    </row>
    <row r="71" spans="1:11" ht="18" customHeight="1" x14ac:dyDescent="0.2">
      <c r="A71" s="178" t="s">
        <v>197</v>
      </c>
      <c r="B71" s="164" t="s">
        <v>286</v>
      </c>
      <c r="C71" s="217">
        <v>50</v>
      </c>
      <c r="D71" s="217">
        <f t="shared" si="14"/>
        <v>50</v>
      </c>
      <c r="E71" s="217">
        <f t="shared" si="14"/>
        <v>50</v>
      </c>
      <c r="F71" s="217">
        <f t="shared" si="14"/>
        <v>50</v>
      </c>
      <c r="G71" s="217">
        <f t="shared" si="14"/>
        <v>50</v>
      </c>
      <c r="H71" s="217">
        <f t="shared" si="14"/>
        <v>50</v>
      </c>
      <c r="I71" s="169"/>
      <c r="K71" s="165"/>
    </row>
    <row r="72" spans="1:11" ht="18" customHeight="1" x14ac:dyDescent="0.2">
      <c r="A72" s="178" t="s">
        <v>197</v>
      </c>
      <c r="B72" s="164" t="s">
        <v>201</v>
      </c>
      <c r="C72" s="217">
        <v>700</v>
      </c>
      <c r="D72" s="217">
        <f t="shared" si="14"/>
        <v>700</v>
      </c>
      <c r="E72" s="217">
        <f t="shared" si="14"/>
        <v>700</v>
      </c>
      <c r="F72" s="217">
        <f t="shared" si="14"/>
        <v>700</v>
      </c>
      <c r="G72" s="217">
        <f t="shared" si="14"/>
        <v>700</v>
      </c>
      <c r="H72" s="217">
        <f t="shared" si="14"/>
        <v>700</v>
      </c>
      <c r="I72" s="190"/>
      <c r="K72" s="192"/>
    </row>
    <row r="73" spans="1:11" ht="18" customHeight="1" x14ac:dyDescent="0.2">
      <c r="A73" s="178" t="s">
        <v>197</v>
      </c>
      <c r="B73" s="164" t="s">
        <v>202</v>
      </c>
      <c r="C73" s="231">
        <v>0.05</v>
      </c>
      <c r="D73" s="231">
        <v>0.05</v>
      </c>
      <c r="E73" s="231">
        <v>0.05</v>
      </c>
      <c r="F73" s="231">
        <v>0.05</v>
      </c>
      <c r="G73" s="231">
        <v>0.05</v>
      </c>
      <c r="H73" s="231">
        <v>0.05</v>
      </c>
      <c r="I73" s="193"/>
      <c r="K73" s="194"/>
    </row>
    <row r="74" spans="1:11" ht="18" customHeight="1" x14ac:dyDescent="0.2">
      <c r="A74" s="178" t="s">
        <v>197</v>
      </c>
      <c r="B74" s="164" t="s">
        <v>203</v>
      </c>
      <c r="C74" s="231">
        <v>0.05</v>
      </c>
      <c r="D74" s="231">
        <v>0.05</v>
      </c>
      <c r="E74" s="231">
        <v>0.05</v>
      </c>
      <c r="F74" s="231">
        <v>0.05</v>
      </c>
      <c r="G74" s="231">
        <v>0.05</v>
      </c>
      <c r="H74" s="231">
        <v>0.05</v>
      </c>
      <c r="I74" s="193"/>
      <c r="K74" s="194"/>
    </row>
    <row r="75" spans="1:11" ht="18" customHeight="1" x14ac:dyDescent="0.2">
      <c r="A75" s="178" t="s">
        <v>197</v>
      </c>
      <c r="B75" s="164" t="s">
        <v>204</v>
      </c>
      <c r="C75" s="231">
        <v>0.05</v>
      </c>
      <c r="D75" s="231">
        <v>0.05</v>
      </c>
      <c r="E75" s="231">
        <v>0.05</v>
      </c>
      <c r="F75" s="231">
        <v>0.05</v>
      </c>
      <c r="G75" s="231">
        <v>0.05</v>
      </c>
      <c r="H75" s="231">
        <v>0</v>
      </c>
      <c r="I75" s="193"/>
      <c r="K75" s="194"/>
    </row>
    <row r="76" spans="1:11" ht="18" customHeight="1" x14ac:dyDescent="0.2">
      <c r="A76" s="178" t="s">
        <v>197</v>
      </c>
      <c r="B76" s="164" t="s">
        <v>205</v>
      </c>
      <c r="C76" s="228">
        <v>1</v>
      </c>
      <c r="D76" s="228">
        <v>1</v>
      </c>
      <c r="E76" s="228">
        <v>1</v>
      </c>
      <c r="F76" s="228">
        <v>1</v>
      </c>
      <c r="G76" s="228">
        <v>1</v>
      </c>
      <c r="H76" s="228">
        <v>0.75</v>
      </c>
      <c r="I76" s="164"/>
    </row>
    <row r="77" spans="1:11" ht="18" customHeight="1" x14ac:dyDescent="0.2">
      <c r="A77" s="178" t="s">
        <v>197</v>
      </c>
      <c r="B77" s="164" t="s">
        <v>206</v>
      </c>
      <c r="C77" s="228">
        <v>12</v>
      </c>
      <c r="D77" s="228">
        <f>C77</f>
        <v>12</v>
      </c>
      <c r="E77" s="228">
        <f t="shared" ref="E77:H79" si="15">D77</f>
        <v>12</v>
      </c>
      <c r="F77" s="228">
        <f t="shared" si="15"/>
        <v>12</v>
      </c>
      <c r="G77" s="228">
        <f t="shared" si="15"/>
        <v>12</v>
      </c>
      <c r="H77" s="228">
        <f t="shared" si="15"/>
        <v>12</v>
      </c>
      <c r="I77" s="164"/>
    </row>
    <row r="78" spans="1:11" ht="18" customHeight="1" x14ac:dyDescent="0.2">
      <c r="A78" s="178" t="s">
        <v>197</v>
      </c>
      <c r="B78" s="164" t="s">
        <v>207</v>
      </c>
      <c r="C78" s="228">
        <f>C77-1</f>
        <v>11</v>
      </c>
      <c r="D78" s="228">
        <f>C78</f>
        <v>11</v>
      </c>
      <c r="E78" s="228">
        <f t="shared" si="15"/>
        <v>11</v>
      </c>
      <c r="F78" s="228">
        <f t="shared" si="15"/>
        <v>11</v>
      </c>
      <c r="G78" s="228">
        <f t="shared" si="15"/>
        <v>11</v>
      </c>
      <c r="H78" s="228">
        <f t="shared" si="15"/>
        <v>11</v>
      </c>
      <c r="I78" s="164"/>
    </row>
    <row r="79" spans="1:11" ht="18" customHeight="1" x14ac:dyDescent="0.2">
      <c r="A79" s="178" t="s">
        <v>197</v>
      </c>
      <c r="B79" s="164" t="s">
        <v>208</v>
      </c>
      <c r="C79" s="218">
        <v>519</v>
      </c>
      <c r="D79" s="218">
        <f>C79</f>
        <v>519</v>
      </c>
      <c r="E79" s="218">
        <f t="shared" si="15"/>
        <v>519</v>
      </c>
      <c r="F79" s="218">
        <f t="shared" si="15"/>
        <v>519</v>
      </c>
      <c r="G79" s="218">
        <f t="shared" si="15"/>
        <v>519</v>
      </c>
      <c r="H79" s="218">
        <f t="shared" si="15"/>
        <v>519</v>
      </c>
      <c r="I79" s="164"/>
    </row>
    <row r="80" spans="1:11" ht="18" customHeight="1" x14ac:dyDescent="0.2">
      <c r="A80" s="172" t="s">
        <v>197</v>
      </c>
      <c r="B80" s="173" t="s">
        <v>209</v>
      </c>
      <c r="C80" s="230">
        <v>300</v>
      </c>
      <c r="D80" s="230">
        <v>300</v>
      </c>
      <c r="E80" s="230">
        <v>300</v>
      </c>
      <c r="F80" s="230">
        <v>300</v>
      </c>
      <c r="G80" s="230">
        <v>300</v>
      </c>
      <c r="H80" s="230">
        <v>300</v>
      </c>
      <c r="I80" s="173"/>
    </row>
    <row r="81" spans="1:12" ht="18" customHeight="1" x14ac:dyDescent="0.2">
      <c r="A81" s="195" t="s">
        <v>418</v>
      </c>
      <c r="B81" s="177" t="s">
        <v>210</v>
      </c>
      <c r="C81" s="224">
        <v>21.63</v>
      </c>
      <c r="D81" s="224">
        <f>C81</f>
        <v>21.63</v>
      </c>
      <c r="E81" s="224">
        <f t="shared" ref="E81:H82" si="16">D81</f>
        <v>21.63</v>
      </c>
      <c r="F81" s="224">
        <f t="shared" si="16"/>
        <v>21.63</v>
      </c>
      <c r="G81" s="224">
        <f t="shared" si="16"/>
        <v>21.63</v>
      </c>
      <c r="H81" s="224">
        <f t="shared" si="16"/>
        <v>21.63</v>
      </c>
      <c r="I81" s="177" t="s">
        <v>410</v>
      </c>
    </row>
    <row r="82" spans="1:12" ht="18" customHeight="1" x14ac:dyDescent="0.2">
      <c r="A82" s="270" t="s">
        <v>418</v>
      </c>
      <c r="B82" s="180" t="s">
        <v>302</v>
      </c>
      <c r="C82" s="217">
        <v>22.63</v>
      </c>
      <c r="D82" s="217">
        <f>C82</f>
        <v>22.63</v>
      </c>
      <c r="E82" s="217">
        <f t="shared" si="16"/>
        <v>22.63</v>
      </c>
      <c r="F82" s="217">
        <f t="shared" si="16"/>
        <v>22.63</v>
      </c>
      <c r="G82" s="217">
        <f t="shared" si="16"/>
        <v>22.63</v>
      </c>
      <c r="H82" s="217">
        <f t="shared" si="16"/>
        <v>22.63</v>
      </c>
      <c r="I82" s="164" t="s">
        <v>411</v>
      </c>
    </row>
    <row r="84" spans="1:12" x14ac:dyDescent="0.2">
      <c r="I84" s="164"/>
    </row>
    <row r="85" spans="1:12" ht="14" x14ac:dyDescent="0.2">
      <c r="I85" s="196"/>
      <c r="J85" s="159"/>
      <c r="L85" s="159"/>
    </row>
  </sheetData>
  <phoneticPr fontId="28" type="noConversion"/>
  <pageMargins left="0.7" right="0.7" top="0.75" bottom="0.75" header="0.3" footer="0.3"/>
  <pageSetup orientation="portrait" horizontalDpi="1200" verticalDpi="1200" r:id="rId1"/>
  <ignoredErrors>
    <ignoredError sqref="D3:H18 D19:H40 D41:H82" calculatedColumn="1"/>
  </ignoredErrors>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CAB35-919A-4601-B923-A7044E92DC77}">
  <dimension ref="A1:G33"/>
  <sheetViews>
    <sheetView zoomScaleNormal="100" workbookViewId="0"/>
  </sheetViews>
  <sheetFormatPr baseColWidth="10" defaultColWidth="8.83203125" defaultRowHeight="15" x14ac:dyDescent="0.2"/>
  <cols>
    <col min="1" max="1" width="23.5" style="20" customWidth="1"/>
    <col min="2" max="2" width="22.83203125" style="20" customWidth="1"/>
    <col min="3" max="7" width="8.83203125" style="20"/>
    <col min="8" max="16384" width="8.83203125" style="77"/>
  </cols>
  <sheetData>
    <row r="1" spans="1:7" ht="30" customHeight="1" x14ac:dyDescent="0.2">
      <c r="A1" s="89" t="s">
        <v>444</v>
      </c>
      <c r="B1" s="32"/>
      <c r="C1" s="32"/>
      <c r="D1" s="32"/>
      <c r="E1" s="32"/>
      <c r="F1" s="32"/>
      <c r="G1" s="32"/>
    </row>
    <row r="2" spans="1:7" s="99" customFormat="1" ht="18" customHeight="1" x14ac:dyDescent="0.2">
      <c r="A2" s="97" t="s">
        <v>220</v>
      </c>
      <c r="B2" s="97" t="s">
        <v>57</v>
      </c>
      <c r="C2" s="98"/>
      <c r="D2" s="98"/>
      <c r="E2" s="98"/>
      <c r="F2" s="98"/>
      <c r="G2" s="98"/>
    </row>
    <row r="3" spans="1:7" ht="18" customHeight="1" x14ac:dyDescent="0.2">
      <c r="A3" s="78" t="s">
        <v>7</v>
      </c>
      <c r="B3" s="201" t="s">
        <v>260</v>
      </c>
      <c r="C3" s="77"/>
      <c r="D3" s="77"/>
      <c r="E3" s="77"/>
      <c r="F3" s="77"/>
      <c r="G3" s="77"/>
    </row>
    <row r="4" spans="1:7" ht="18" customHeight="1" x14ac:dyDescent="0.2">
      <c r="A4" s="78" t="s">
        <v>8</v>
      </c>
      <c r="B4" s="201" t="s">
        <v>261</v>
      </c>
      <c r="C4" s="73"/>
      <c r="D4" s="73"/>
      <c r="E4" s="73"/>
      <c r="F4" s="73"/>
      <c r="G4" s="73"/>
    </row>
    <row r="5" spans="1:7" ht="18" customHeight="1" x14ac:dyDescent="0.2">
      <c r="A5" s="78" t="s">
        <v>9</v>
      </c>
      <c r="B5" s="201" t="s">
        <v>262</v>
      </c>
      <c r="C5" s="73"/>
      <c r="D5" s="73"/>
      <c r="E5" s="73"/>
      <c r="F5" s="73"/>
      <c r="G5" s="73"/>
    </row>
    <row r="6" spans="1:7" ht="18" customHeight="1" x14ac:dyDescent="0.2">
      <c r="A6" s="78" t="s">
        <v>10</v>
      </c>
      <c r="B6" s="201" t="s">
        <v>263</v>
      </c>
      <c r="C6" s="73"/>
      <c r="D6" s="73"/>
      <c r="E6" s="73"/>
      <c r="F6" s="73"/>
      <c r="G6" s="73"/>
    </row>
    <row r="7" spans="1:7" ht="18" customHeight="1" x14ac:dyDescent="0.2">
      <c r="A7" s="78" t="s">
        <v>257</v>
      </c>
      <c r="B7" s="201" t="s">
        <v>258</v>
      </c>
      <c r="C7" s="73"/>
      <c r="D7" s="73"/>
      <c r="E7" s="73"/>
      <c r="F7" s="73"/>
      <c r="G7" s="73"/>
    </row>
    <row r="8" spans="1:7" ht="18" customHeight="1" x14ac:dyDescent="0.2">
      <c r="A8" s="78" t="s">
        <v>11</v>
      </c>
      <c r="B8" s="201" t="s">
        <v>259</v>
      </c>
      <c r="C8" s="73"/>
      <c r="D8" s="73"/>
      <c r="E8" s="73"/>
      <c r="F8" s="73"/>
      <c r="G8" s="73"/>
    </row>
    <row r="9" spans="1:7" ht="18" customHeight="1" x14ac:dyDescent="0.2">
      <c r="A9" s="78" t="s">
        <v>12</v>
      </c>
      <c r="B9" s="201" t="s">
        <v>265</v>
      </c>
      <c r="C9" s="73"/>
      <c r="D9" s="73"/>
      <c r="E9" s="73"/>
      <c r="F9" s="73"/>
      <c r="G9" s="73"/>
    </row>
    <row r="10" spans="1:7" ht="18" customHeight="1" x14ac:dyDescent="0.2">
      <c r="A10" s="78" t="s">
        <v>13</v>
      </c>
      <c r="B10" s="201" t="s">
        <v>264</v>
      </c>
      <c r="C10" s="73"/>
      <c r="D10" s="73"/>
      <c r="E10" s="73"/>
      <c r="F10" s="73"/>
      <c r="G10" s="73"/>
    </row>
    <row r="11" spans="1:7" x14ac:dyDescent="0.2">
      <c r="A11" s="38"/>
      <c r="B11" s="38"/>
    </row>
    <row r="12" spans="1:7" x14ac:dyDescent="0.2">
      <c r="A12" s="38"/>
      <c r="B12" s="38"/>
    </row>
    <row r="13" spans="1:7" x14ac:dyDescent="0.2">
      <c r="A13" s="38"/>
      <c r="B13" s="38"/>
    </row>
    <row r="14" spans="1:7" x14ac:dyDescent="0.2">
      <c r="A14" s="38"/>
      <c r="B14" s="38"/>
    </row>
    <row r="15" spans="1:7" x14ac:dyDescent="0.2">
      <c r="A15" s="38"/>
      <c r="B15" s="38"/>
    </row>
    <row r="16" spans="1:7" x14ac:dyDescent="0.2">
      <c r="A16" s="38"/>
      <c r="B16" s="38"/>
    </row>
    <row r="17" spans="1:7" x14ac:dyDescent="0.2">
      <c r="A17" s="38"/>
      <c r="B17" s="38"/>
    </row>
    <row r="18" spans="1:7" x14ac:dyDescent="0.2">
      <c r="A18" s="38"/>
      <c r="B18" s="38"/>
    </row>
    <row r="19" spans="1:7" x14ac:dyDescent="0.2">
      <c r="A19" s="38"/>
      <c r="B19" s="38"/>
    </row>
    <row r="20" spans="1:7" x14ac:dyDescent="0.2">
      <c r="A20" s="38"/>
      <c r="B20" s="38"/>
    </row>
    <row r="21" spans="1:7" x14ac:dyDescent="0.2">
      <c r="A21" s="38"/>
      <c r="B21" s="38"/>
    </row>
    <row r="22" spans="1:7" x14ac:dyDescent="0.2">
      <c r="A22" s="38"/>
      <c r="B22" s="38"/>
    </row>
    <row r="23" spans="1:7" x14ac:dyDescent="0.2">
      <c r="A23" s="38"/>
      <c r="B23" s="38"/>
    </row>
    <row r="24" spans="1:7" x14ac:dyDescent="0.2">
      <c r="A24" s="42"/>
      <c r="B24" s="42"/>
      <c r="C24" s="8"/>
      <c r="D24" s="8"/>
      <c r="E24" s="8"/>
      <c r="F24" s="8"/>
      <c r="G24" s="8"/>
    </row>
    <row r="25" spans="1:7" x14ac:dyDescent="0.2">
      <c r="A25" s="38"/>
      <c r="B25" s="38"/>
    </row>
    <row r="26" spans="1:7" x14ac:dyDescent="0.2">
      <c r="A26" s="38"/>
      <c r="B26" s="38"/>
    </row>
    <row r="27" spans="1:7" x14ac:dyDescent="0.2">
      <c r="A27" s="38"/>
      <c r="B27" s="38"/>
    </row>
    <row r="33" spans="1:2" x14ac:dyDescent="0.2">
      <c r="A33" s="38"/>
      <c r="B33" s="38"/>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9"/>
  <sheetViews>
    <sheetView topLeftCell="A61" zoomScale="159" zoomScaleNormal="159" workbookViewId="0">
      <selection activeCell="D73" sqref="D73"/>
    </sheetView>
  </sheetViews>
  <sheetFormatPr baseColWidth="10" defaultColWidth="9.1640625" defaultRowHeight="14" x14ac:dyDescent="0.2"/>
  <cols>
    <col min="1" max="1" width="22.33203125" style="22" customWidth="1"/>
    <col min="2" max="2" width="44.33203125" style="19" customWidth="1"/>
    <col min="3" max="3" width="12.6640625" style="19" customWidth="1"/>
    <col min="4" max="4" width="11.5" style="19" customWidth="1"/>
    <col min="5" max="5" width="11.6640625" style="19" customWidth="1"/>
    <col min="6" max="6" width="12.6640625" style="19" customWidth="1"/>
    <col min="7" max="7" width="12.5" style="19" customWidth="1"/>
    <col min="8" max="8" width="21.6640625" style="19" customWidth="1"/>
    <col min="9" max="9" width="10.6640625" style="19" customWidth="1"/>
    <col min="10" max="16384" width="9.1640625" style="19"/>
  </cols>
  <sheetData>
    <row r="1" spans="1:11" s="6" customFormat="1" ht="30" customHeight="1" x14ac:dyDescent="0.2">
      <c r="A1" s="89" t="s">
        <v>438</v>
      </c>
      <c r="B1" s="89"/>
      <c r="C1" s="89"/>
      <c r="D1" s="89"/>
      <c r="E1" s="89"/>
      <c r="F1" s="89"/>
      <c r="G1" s="89"/>
      <c r="H1" s="89"/>
      <c r="I1" s="89"/>
      <c r="J1" s="78"/>
    </row>
    <row r="2" spans="1:11" s="20" customFormat="1" ht="48" customHeight="1" x14ac:dyDescent="0.2">
      <c r="A2" s="150" t="s">
        <v>221</v>
      </c>
      <c r="B2" s="43" t="s">
        <v>222</v>
      </c>
      <c r="C2" s="44" t="s">
        <v>15</v>
      </c>
      <c r="D2" s="45" t="s">
        <v>16</v>
      </c>
      <c r="E2" s="45" t="s">
        <v>17</v>
      </c>
      <c r="F2" s="45" t="s">
        <v>18</v>
      </c>
      <c r="G2" s="45" t="s">
        <v>19</v>
      </c>
      <c r="H2" s="36" t="s">
        <v>218</v>
      </c>
      <c r="I2" s="18"/>
      <c r="J2" s="23"/>
    </row>
    <row r="3" spans="1:11" s="104" customFormat="1" ht="18" customHeight="1" x14ac:dyDescent="0.15">
      <c r="A3" s="46" t="s">
        <v>450</v>
      </c>
      <c r="B3" s="103" t="s">
        <v>296</v>
      </c>
      <c r="C3" s="151">
        <v>0</v>
      </c>
      <c r="D3" s="151">
        <v>0</v>
      </c>
      <c r="E3" s="151">
        <v>0</v>
      </c>
      <c r="F3" s="56">
        <f>'App A9. Data for tables'!F$7*'App A9. Data for tables'!F$8</f>
        <v>520</v>
      </c>
      <c r="G3" s="56">
        <f>'App A9. Data for tables'!G$7*'App A9. Data for tables'!G$8</f>
        <v>1820</v>
      </c>
      <c r="H3" s="56">
        <f>'App A9. Data for tables'!H$7*'App A9. Data for tables'!H$8</f>
        <v>2340</v>
      </c>
      <c r="I3" s="152"/>
      <c r="J3" s="46"/>
      <c r="K3" s="199"/>
    </row>
    <row r="4" spans="1:11" s="104" customFormat="1" ht="18" customHeight="1" x14ac:dyDescent="0.15">
      <c r="A4" s="46" t="s">
        <v>450</v>
      </c>
      <c r="B4" s="103" t="s">
        <v>297</v>
      </c>
      <c r="C4" s="151">
        <v>0</v>
      </c>
      <c r="D4" s="151">
        <v>0</v>
      </c>
      <c r="E4" s="151">
        <v>0</v>
      </c>
      <c r="F4" s="56">
        <f>'App A9. Data for tables'!F$7*'App A9. Data for tables'!F$9</f>
        <v>1400</v>
      </c>
      <c r="G4" s="56">
        <f>'App A9. Data for tables'!G$7*'App A9. Data for tables'!G$9</f>
        <v>4900</v>
      </c>
      <c r="H4" s="56">
        <f>'App A9. Data for tables'!H$7*'App A9. Data for tables'!H$9</f>
        <v>6300</v>
      </c>
      <c r="I4" s="152"/>
      <c r="J4" s="46"/>
      <c r="K4" s="199"/>
    </row>
    <row r="5" spans="1:11" s="104" customFormat="1" ht="18" customHeight="1" x14ac:dyDescent="0.15">
      <c r="A5" s="46" t="s">
        <v>450</v>
      </c>
      <c r="B5" s="103" t="s">
        <v>298</v>
      </c>
      <c r="C5" s="151">
        <v>0</v>
      </c>
      <c r="D5" s="151">
        <v>0</v>
      </c>
      <c r="E5" s="151">
        <v>0</v>
      </c>
      <c r="F5" s="56">
        <f>'App A9. Data for tables'!F$7*'App A9. Data for tables'!F$10</f>
        <v>1200</v>
      </c>
      <c r="G5" s="56">
        <f>'App A9. Data for tables'!G$7*'App A9. Data for tables'!G$10</f>
        <v>4200</v>
      </c>
      <c r="H5" s="56">
        <f>'App A9. Data for tables'!H$7*'App A9. Data for tables'!H$10</f>
        <v>5400</v>
      </c>
      <c r="I5" s="152"/>
      <c r="J5" s="46"/>
      <c r="K5" s="199"/>
    </row>
    <row r="6" spans="1:11" s="104" customFormat="1" ht="18" customHeight="1" x14ac:dyDescent="0.15">
      <c r="A6" s="46" t="s">
        <v>451</v>
      </c>
      <c r="B6" s="103" t="s">
        <v>452</v>
      </c>
      <c r="C6" s="151">
        <v>0</v>
      </c>
      <c r="D6" s="151">
        <v>0</v>
      </c>
      <c r="E6" s="151">
        <v>0</v>
      </c>
      <c r="F6" s="56">
        <f>'App A9. Data for tables'!F$7*'App A9. Data for tables'!F$11</f>
        <v>880</v>
      </c>
      <c r="G6" s="56">
        <f>'App A9. Data for tables'!G$7*'App A9. Data for tables'!G$11</f>
        <v>3080</v>
      </c>
      <c r="H6" s="56">
        <f>'App A9. Data for tables'!H$7*'App A9. Data for tables'!H$11</f>
        <v>3960</v>
      </c>
      <c r="I6" s="152"/>
      <c r="J6" s="46"/>
      <c r="K6" s="199"/>
    </row>
    <row r="7" spans="1:11" s="104" customFormat="1" ht="18" customHeight="1" x14ac:dyDescent="0.15">
      <c r="A7" s="46" t="s">
        <v>223</v>
      </c>
      <c r="B7" s="9" t="s">
        <v>293</v>
      </c>
      <c r="C7" s="56">
        <f>'App A9. Data for tables'!$C3</f>
        <v>0</v>
      </c>
      <c r="D7" s="56">
        <f>'App A9. Data for tables'!$D3</f>
        <v>0</v>
      </c>
      <c r="E7" s="56">
        <f>'App A9. Data for tables'!$E3</f>
        <v>0</v>
      </c>
      <c r="F7" s="56">
        <f>'App A9. Data for tables'!$F3</f>
        <v>3.14</v>
      </c>
      <c r="G7" s="56">
        <f>'App A9. Data for tables'!$G3</f>
        <v>3.14</v>
      </c>
      <c r="H7" s="56">
        <f>'App A9. Data for tables'!$H3</f>
        <v>3.14</v>
      </c>
      <c r="I7" s="103"/>
      <c r="J7" s="47"/>
      <c r="K7" s="8"/>
    </row>
    <row r="8" spans="1:11" s="104" customFormat="1" ht="18" customHeight="1" x14ac:dyDescent="0.15">
      <c r="A8" s="46" t="s">
        <v>223</v>
      </c>
      <c r="B8" s="9" t="s">
        <v>294</v>
      </c>
      <c r="C8" s="56">
        <f>'App A9. Data for tables'!$C4</f>
        <v>0</v>
      </c>
      <c r="D8" s="56">
        <f>'App A9. Data for tables'!$D4</f>
        <v>0</v>
      </c>
      <c r="E8" s="56">
        <f>'App A9. Data for tables'!$E4</f>
        <v>0</v>
      </c>
      <c r="F8" s="56">
        <f>'App A9. Data for tables'!$F4</f>
        <v>2.5499999999999998</v>
      </c>
      <c r="G8" s="56">
        <f>'App A9. Data for tables'!$G4</f>
        <v>2.5499999999999998</v>
      </c>
      <c r="H8" s="56">
        <f>'App A9. Data for tables'!$H4</f>
        <v>2.5499999999999998</v>
      </c>
      <c r="I8" s="103"/>
      <c r="J8" s="47"/>
      <c r="K8" s="8"/>
    </row>
    <row r="9" spans="1:11" s="104" customFormat="1" ht="18" customHeight="1" x14ac:dyDescent="0.15">
      <c r="A9" s="46" t="s">
        <v>223</v>
      </c>
      <c r="B9" s="9" t="s">
        <v>295</v>
      </c>
      <c r="C9" s="56">
        <f>'App A9. Data for tables'!$C5</f>
        <v>0</v>
      </c>
      <c r="D9" s="56">
        <f>'App A9. Data for tables'!$D5</f>
        <v>0</v>
      </c>
      <c r="E9" s="56">
        <f>'App A9. Data for tables'!$E5</f>
        <v>0</v>
      </c>
      <c r="F9" s="56">
        <f>'App A9. Data for tables'!$F5</f>
        <v>1.52</v>
      </c>
      <c r="G9" s="56">
        <f>'App A9. Data for tables'!$G5</f>
        <v>1.52</v>
      </c>
      <c r="H9" s="56">
        <f>'App A9. Data for tables'!$H5</f>
        <v>1.52</v>
      </c>
      <c r="I9" s="103"/>
      <c r="J9" s="47"/>
      <c r="K9" s="8"/>
    </row>
    <row r="10" spans="1:11" s="104" customFormat="1" ht="18" customHeight="1" x14ac:dyDescent="0.15">
      <c r="A10" s="46" t="s">
        <v>223</v>
      </c>
      <c r="B10" s="9" t="s">
        <v>299</v>
      </c>
      <c r="C10" s="56">
        <f>'App A9. Data for tables'!$C6</f>
        <v>0</v>
      </c>
      <c r="D10" s="56">
        <f>'App A9. Data for tables'!$D6</f>
        <v>0</v>
      </c>
      <c r="E10" s="56">
        <f>'App A9. Data for tables'!$E6</f>
        <v>0</v>
      </c>
      <c r="F10" s="56">
        <f>'App A9. Data for tables'!$F6</f>
        <v>0.04</v>
      </c>
      <c r="G10" s="56">
        <f>'App A9. Data for tables'!$G6</f>
        <v>0.04</v>
      </c>
      <c r="H10" s="56">
        <f>'App A9. Data for tables'!$H6</f>
        <v>0.04</v>
      </c>
      <c r="I10" s="103"/>
      <c r="J10" s="47"/>
      <c r="K10" s="8"/>
    </row>
    <row r="11" spans="1:11" s="104" customFormat="1" ht="18" customHeight="1" x14ac:dyDescent="0.15">
      <c r="A11" s="46" t="s">
        <v>224</v>
      </c>
      <c r="B11" s="153" t="s">
        <v>20</v>
      </c>
      <c r="C11" s="53">
        <f>(C$3*C$7)+(C$4*C$8)+(C$5*C$9)+(C$6*C$10)</f>
        <v>0</v>
      </c>
      <c r="D11" s="53">
        <f t="shared" ref="D11:E11" si="0">(D$3*D$7)+(D$4*D$8)+(D$5*D$9)+(D$6*D$10)</f>
        <v>0</v>
      </c>
      <c r="E11" s="53">
        <f t="shared" si="0"/>
        <v>0</v>
      </c>
      <c r="F11" s="53">
        <f>(F$3*F$7)+(F$4*F$8)+(F$5*F$9)+(F$6*F$10)</f>
        <v>7061.9999999999991</v>
      </c>
      <c r="G11" s="53">
        <f>(G$3*G$7)+(G$4*G$8)+(G$5*G$9)+(G$6*G$10)</f>
        <v>24717</v>
      </c>
      <c r="H11" s="53">
        <f>(H$3*H$7)+(H$4*H$8)+(H$5*H$9)+(H$6*H$10)</f>
        <v>31779</v>
      </c>
      <c r="I11" s="103"/>
      <c r="J11" s="47"/>
      <c r="K11" s="8"/>
    </row>
    <row r="12" spans="1:11" s="104" customFormat="1" ht="36" customHeight="1" x14ac:dyDescent="0.15">
      <c r="A12" s="46" t="s">
        <v>225</v>
      </c>
      <c r="B12" s="9" t="s">
        <v>21</v>
      </c>
      <c r="C12" s="57">
        <f>SUM('App A5. Estab Costs'!$E$4:$E$7)</f>
        <v>2811.3150000000001</v>
      </c>
      <c r="D12" s="70">
        <v>0</v>
      </c>
      <c r="E12" s="70">
        <v>0</v>
      </c>
      <c r="F12" s="70">
        <v>0</v>
      </c>
      <c r="G12" s="70">
        <v>0</v>
      </c>
      <c r="H12" s="70">
        <v>0</v>
      </c>
      <c r="I12" s="103"/>
      <c r="J12" s="154"/>
      <c r="K12" s="8"/>
    </row>
    <row r="13" spans="1:11" s="104" customFormat="1" ht="18" customHeight="1" x14ac:dyDescent="0.15">
      <c r="A13" s="46" t="s">
        <v>225</v>
      </c>
      <c r="B13" s="9" t="s">
        <v>22</v>
      </c>
      <c r="C13" s="57">
        <f>SUM('App A5. Estab Costs'!$E$8:$E$9)</f>
        <v>7506.5</v>
      </c>
      <c r="D13" s="70">
        <v>0</v>
      </c>
      <c r="E13" s="70">
        <v>0</v>
      </c>
      <c r="F13" s="70">
        <v>0</v>
      </c>
      <c r="G13" s="70">
        <v>0</v>
      </c>
      <c r="H13" s="70">
        <v>0</v>
      </c>
      <c r="I13" s="103"/>
      <c r="J13" s="8"/>
      <c r="K13" s="9"/>
    </row>
    <row r="14" spans="1:11" s="104" customFormat="1" ht="18" customHeight="1" x14ac:dyDescent="0.15">
      <c r="A14" s="46" t="s">
        <v>225</v>
      </c>
      <c r="B14" s="9" t="s">
        <v>216</v>
      </c>
      <c r="C14" s="57">
        <f>'App A5. Estab Costs'!$E$15</f>
        <v>324.45</v>
      </c>
      <c r="D14" s="57">
        <f>'App A5. Estab Costs'!$E$31</f>
        <v>540.75</v>
      </c>
      <c r="E14" s="57">
        <f>'App A5. Estab Costs'!$E$47</f>
        <v>886.82999999999993</v>
      </c>
      <c r="F14" s="57">
        <f>'App A5. Estab Costs'!$E$67</f>
        <v>1232.9099999999999</v>
      </c>
      <c r="G14" s="57">
        <f>'App A5. Estab Costs'!$E$91</f>
        <v>1254.54</v>
      </c>
      <c r="H14" s="57">
        <f>'App A6. Full Prod Costs'!$D$5</f>
        <v>1254.54</v>
      </c>
      <c r="I14" s="103"/>
      <c r="J14" s="8"/>
      <c r="K14" s="9"/>
    </row>
    <row r="15" spans="1:11" s="104" customFormat="1" ht="18" customHeight="1" x14ac:dyDescent="0.15">
      <c r="A15" s="46" t="s">
        <v>225</v>
      </c>
      <c r="B15" s="9" t="s">
        <v>312</v>
      </c>
      <c r="C15" s="57">
        <f>'App A5. Estab Costs'!$E$16</f>
        <v>0</v>
      </c>
      <c r="D15" s="57">
        <f>'App A5. Estab Costs'!$E$32</f>
        <v>0</v>
      </c>
      <c r="E15" s="57">
        <f>'App A5. Estab Costs'!$E$48</f>
        <v>0</v>
      </c>
      <c r="F15" s="57">
        <f>'App A5. Estab Costs'!$E$68</f>
        <v>0</v>
      </c>
      <c r="G15" s="57">
        <f>'App A5. Estab Costs'!$E$92</f>
        <v>0</v>
      </c>
      <c r="H15" s="57">
        <f>'App A6. Full Prod Costs'!$D$6</f>
        <v>0</v>
      </c>
      <c r="I15" s="103"/>
      <c r="J15" s="8"/>
      <c r="K15" s="9"/>
    </row>
    <row r="16" spans="1:11" s="104" customFormat="1" ht="18" customHeight="1" x14ac:dyDescent="0.15">
      <c r="A16" s="46" t="s">
        <v>225</v>
      </c>
      <c r="B16" s="9" t="s">
        <v>314</v>
      </c>
      <c r="C16" s="57">
        <f>'App A5. Estab Costs'!$E$17+'App A5. Estab Costs'!$E$18</f>
        <v>651.04</v>
      </c>
      <c r="D16" s="57">
        <f>'App A5. Estab Costs'!$E$33+'App A5. Estab Costs'!$E$34</f>
        <v>1021.04</v>
      </c>
      <c r="E16" s="57">
        <f>'App A5. Estab Costs'!$E$49+'App A5. Estab Costs'!$E$50</f>
        <v>1564.19</v>
      </c>
      <c r="F16" s="57">
        <f>'App A5. Estab Costs'!$E$69+'App A5. Estab Costs'!$E$70</f>
        <v>1797.34</v>
      </c>
      <c r="G16" s="57">
        <f>'App A5. Estab Costs'!$E$93+'App A5. Estab Costs'!$E$94</f>
        <v>1867.34</v>
      </c>
      <c r="H16" s="57">
        <f>'App A6. Full Prod Costs'!$D$7+'App A6. Full Prod Costs'!$D$8</f>
        <v>1867.34</v>
      </c>
      <c r="I16" s="103"/>
      <c r="J16" s="8"/>
      <c r="K16" s="47"/>
    </row>
    <row r="17" spans="1:12" s="104" customFormat="1" ht="18" customHeight="1" x14ac:dyDescent="0.15">
      <c r="A17" s="46" t="s">
        <v>225</v>
      </c>
      <c r="B17" s="9" t="s">
        <v>315</v>
      </c>
      <c r="C17" s="57">
        <f>'App A5. Estab Costs'!$E$19+'App A5. Estab Costs'!$E$20</f>
        <v>183.14999999999998</v>
      </c>
      <c r="D17" s="57">
        <f>'App A5. Estab Costs'!$E$35+'App A5. Estab Costs'!$E$36</f>
        <v>253.14999999999998</v>
      </c>
      <c r="E17" s="57">
        <f>'App A5. Estab Costs'!$E$51+'App A5. Estab Costs'!$E$52</f>
        <v>323.14999999999998</v>
      </c>
      <c r="F17" s="57">
        <f>'App A5. Estab Costs'!$E$71+'App A5. Estab Costs'!$E$72</f>
        <v>411.03999999999996</v>
      </c>
      <c r="G17" s="57">
        <f>'App A5. Estab Costs'!$E$95+'App A5. Estab Costs'!$E$96</f>
        <v>411.03999999999996</v>
      </c>
      <c r="H17" s="57">
        <f>'App A6. Full Prod Costs'!$D$9+'App A6. Full Prod Costs'!$D$10</f>
        <v>411.03999999999996</v>
      </c>
      <c r="I17" s="103"/>
    </row>
    <row r="18" spans="1:12" s="104" customFormat="1" ht="18" customHeight="1" x14ac:dyDescent="0.15">
      <c r="A18" s="46" t="s">
        <v>225</v>
      </c>
      <c r="B18" s="9" t="s">
        <v>23</v>
      </c>
      <c r="C18" s="57">
        <f>'App A5. Estab Costs'!$E$21+'App A5. Estab Costs'!$E$22</f>
        <v>275</v>
      </c>
      <c r="D18" s="57">
        <f>'App A5. Estab Costs'!$E$37+'App A5. Estab Costs'!$E$38</f>
        <v>275</v>
      </c>
      <c r="E18" s="57">
        <f>'App A5. Estab Costs'!$E$53+'App A5. Estab Costs'!$E$54</f>
        <v>275</v>
      </c>
      <c r="F18" s="57">
        <f>'App A5. Estab Costs'!$E$73+'App A5. Estab Costs'!$E$74</f>
        <v>275</v>
      </c>
      <c r="G18" s="57">
        <f>'App A5. Estab Costs'!$E$97+'App A5. Estab Costs'!$E$98</f>
        <v>275</v>
      </c>
      <c r="H18" s="57">
        <f>'App A6. Full Prod Costs'!$D$11+'App A6. Full Prod Costs'!$D$12</f>
        <v>275</v>
      </c>
      <c r="I18" s="103"/>
    </row>
    <row r="19" spans="1:12" s="104" customFormat="1" ht="18" customHeight="1" x14ac:dyDescent="0.15">
      <c r="A19" s="46" t="s">
        <v>225</v>
      </c>
      <c r="B19" s="9" t="s">
        <v>317</v>
      </c>
      <c r="C19" s="57">
        <f>'App A5. Estab Costs'!$E$23</f>
        <v>226.29999999999998</v>
      </c>
      <c r="D19" s="57">
        <f>'App A5. Estab Costs'!$E$39</f>
        <v>226.29999999999998</v>
      </c>
      <c r="E19" s="57">
        <f>'App A5. Estab Costs'!$E$55</f>
        <v>226.29999999999998</v>
      </c>
      <c r="F19" s="57">
        <f>'App A5. Estab Costs'!$E$75</f>
        <v>226.29999999999998</v>
      </c>
      <c r="G19" s="57">
        <f>'App A5. Estab Costs'!$E$99</f>
        <v>226.29999999999998</v>
      </c>
      <c r="H19" s="57">
        <f>'App A6. Full Prod Costs'!$D$13</f>
        <v>226.29999999999998</v>
      </c>
      <c r="I19" s="103"/>
      <c r="J19" s="155"/>
    </row>
    <row r="20" spans="1:12" s="104" customFormat="1" ht="18" customHeight="1" x14ac:dyDescent="0.15">
      <c r="A20" s="46" t="s">
        <v>225</v>
      </c>
      <c r="B20" s="9" t="s">
        <v>366</v>
      </c>
      <c r="C20" s="57">
        <v>0</v>
      </c>
      <c r="D20" s="57">
        <v>0</v>
      </c>
      <c r="E20" s="57">
        <v>0</v>
      </c>
      <c r="F20" s="57">
        <f>'App A5. Estab Costs'!$E$64</f>
        <v>0</v>
      </c>
      <c r="G20" s="57">
        <f>'App A5. Estab Costs'!$E$89</f>
        <v>0</v>
      </c>
      <c r="H20" s="57">
        <f>'App A6. Full Prod Costs'!$D$3</f>
        <v>0</v>
      </c>
      <c r="I20" s="103"/>
    </row>
    <row r="21" spans="1:12" s="104" customFormat="1" ht="18" customHeight="1" x14ac:dyDescent="0.15">
      <c r="A21" s="46" t="s">
        <v>225</v>
      </c>
      <c r="B21" s="9" t="s">
        <v>318</v>
      </c>
      <c r="C21" s="57">
        <v>0</v>
      </c>
      <c r="D21" s="57">
        <v>0</v>
      </c>
      <c r="E21" s="57">
        <v>0</v>
      </c>
      <c r="F21" s="57">
        <f>'App A5. Estab Costs'!$E$66</f>
        <v>0</v>
      </c>
      <c r="G21" s="57">
        <f>'App A5. Estab Costs'!$E$90</f>
        <v>0</v>
      </c>
      <c r="H21" s="57">
        <f>'App A6. Full Prod Costs'!$D$4</f>
        <v>0</v>
      </c>
      <c r="I21" s="103"/>
      <c r="J21" s="155"/>
    </row>
    <row r="22" spans="1:12" s="104" customFormat="1" ht="18" customHeight="1" x14ac:dyDescent="0.15">
      <c r="A22" s="46" t="s">
        <v>225</v>
      </c>
      <c r="B22" s="9" t="s">
        <v>24</v>
      </c>
      <c r="C22" s="57">
        <v>0</v>
      </c>
      <c r="D22" s="57">
        <v>0</v>
      </c>
      <c r="E22" s="57">
        <v>0</v>
      </c>
      <c r="F22" s="57">
        <f>'App A5. Estab Costs'!$E$77</f>
        <v>195</v>
      </c>
      <c r="G22" s="57">
        <f>'App A5. Estab Costs'!$E$100</f>
        <v>195</v>
      </c>
      <c r="H22" s="57">
        <f>'App A6. Full Prod Costs'!$D$14</f>
        <v>195</v>
      </c>
      <c r="I22" s="103"/>
    </row>
    <row r="23" spans="1:12" s="104" customFormat="1" ht="18" customHeight="1" x14ac:dyDescent="0.15">
      <c r="A23" s="46" t="s">
        <v>225</v>
      </c>
      <c r="B23" s="9" t="s">
        <v>320</v>
      </c>
      <c r="C23" s="57">
        <f>'App A5. Estab Costs'!$E$26</f>
        <v>100</v>
      </c>
      <c r="D23" s="57">
        <f>'App A5. Estab Costs'!$E$42</f>
        <v>100</v>
      </c>
      <c r="E23" s="57">
        <f>'App A5. Estab Costs'!$E$58</f>
        <v>100</v>
      </c>
      <c r="F23" s="57">
        <f>'App A5. Estab Costs'!$E$80</f>
        <v>100</v>
      </c>
      <c r="G23" s="57">
        <f>'App A5. Estab Costs'!$E$103</f>
        <v>100</v>
      </c>
      <c r="H23" s="57">
        <f>'App A6. Full Prod Costs'!$D$17</f>
        <v>100</v>
      </c>
      <c r="I23" s="103"/>
      <c r="L23" s="8"/>
    </row>
    <row r="24" spans="1:12" s="104" customFormat="1" ht="18" customHeight="1" x14ac:dyDescent="0.15">
      <c r="A24" s="46" t="s">
        <v>225</v>
      </c>
      <c r="B24" s="9" t="s">
        <v>322</v>
      </c>
      <c r="C24" s="57">
        <v>0</v>
      </c>
      <c r="D24" s="57">
        <v>0</v>
      </c>
      <c r="E24" s="57">
        <v>0</v>
      </c>
      <c r="F24" s="57">
        <f>'App A5. Estab Costs'!$E85</f>
        <v>1200</v>
      </c>
      <c r="G24" s="57">
        <f>'App A5. Estab Costs'!$E108</f>
        <v>3780.0000000000005</v>
      </c>
      <c r="H24" s="57">
        <f>'App A6. Full Prod Costs'!$D22</f>
        <v>4320</v>
      </c>
      <c r="I24" s="103"/>
    </row>
    <row r="25" spans="1:12" s="104" customFormat="1" ht="18" customHeight="1" x14ac:dyDescent="0.15">
      <c r="A25" s="46" t="s">
        <v>225</v>
      </c>
      <c r="B25" s="9" t="s">
        <v>323</v>
      </c>
      <c r="C25" s="57">
        <v>0</v>
      </c>
      <c r="D25" s="57">
        <v>0</v>
      </c>
      <c r="E25" s="57">
        <v>0</v>
      </c>
      <c r="F25" s="57">
        <f>'App A5. Estab Costs'!$E86</f>
        <v>600</v>
      </c>
      <c r="G25" s="57">
        <f>'App A5. Estab Costs'!$E109</f>
        <v>2100</v>
      </c>
      <c r="H25" s="57">
        <f>'App A6. Full Prod Costs'!$D23</f>
        <v>2700</v>
      </c>
      <c r="I25" s="103"/>
    </row>
    <row r="26" spans="1:12" s="104" customFormat="1" ht="18" customHeight="1" x14ac:dyDescent="0.15">
      <c r="A26" s="46" t="s">
        <v>225</v>
      </c>
      <c r="B26" s="9" t="s">
        <v>429</v>
      </c>
      <c r="C26" s="57">
        <v>0</v>
      </c>
      <c r="D26" s="57">
        <v>0</v>
      </c>
      <c r="E26" s="57">
        <v>0</v>
      </c>
      <c r="F26" s="57">
        <f>'App A5. Estab Costs'!$E87</f>
        <v>200</v>
      </c>
      <c r="G26" s="57">
        <f>'App A5. Estab Costs'!$E110</f>
        <v>700</v>
      </c>
      <c r="H26" s="57">
        <f>'App A6. Full Prod Costs'!$D24</f>
        <v>900</v>
      </c>
      <c r="I26" s="103"/>
    </row>
    <row r="27" spans="1:12" s="104" customFormat="1" ht="18" customHeight="1" x14ac:dyDescent="0.15">
      <c r="A27" s="46" t="s">
        <v>225</v>
      </c>
      <c r="B27" s="47" t="s">
        <v>324</v>
      </c>
      <c r="C27" s="57">
        <v>0</v>
      </c>
      <c r="D27" s="57">
        <v>0</v>
      </c>
      <c r="E27" s="57">
        <v>0</v>
      </c>
      <c r="F27" s="57">
        <f>'App A5. Estab Costs'!$E88</f>
        <v>3400</v>
      </c>
      <c r="G27" s="57">
        <f>'App A5. Estab Costs'!$E111</f>
        <v>11900</v>
      </c>
      <c r="H27" s="57">
        <f>'App A6. Full Prod Costs'!$D25</f>
        <v>15300</v>
      </c>
      <c r="I27" s="103"/>
    </row>
    <row r="28" spans="1:12" s="104" customFormat="1" ht="18" customHeight="1" x14ac:dyDescent="0.15">
      <c r="A28" s="46" t="s">
        <v>225</v>
      </c>
      <c r="B28" s="9" t="s">
        <v>25</v>
      </c>
      <c r="C28" s="57">
        <f>'App A5. Estab Costs'!$E$24</f>
        <v>250</v>
      </c>
      <c r="D28" s="57">
        <f>'App A5. Estab Costs'!$E$40</f>
        <v>250</v>
      </c>
      <c r="E28" s="57">
        <f>'App A5. Estab Costs'!$E$56</f>
        <v>250</v>
      </c>
      <c r="F28" s="57">
        <f>'App A5. Estab Costs'!$E$78</f>
        <v>285</v>
      </c>
      <c r="G28" s="57">
        <f>'App A5. Estab Costs'!$E$101</f>
        <v>285</v>
      </c>
      <c r="H28" s="57">
        <f>'App A6. Full Prod Costs'!$D$15</f>
        <v>285</v>
      </c>
      <c r="I28" s="103"/>
    </row>
    <row r="29" spans="1:12" s="104" customFormat="1" ht="18" customHeight="1" x14ac:dyDescent="0.15">
      <c r="A29" s="46" t="s">
        <v>225</v>
      </c>
      <c r="B29" s="9" t="s">
        <v>26</v>
      </c>
      <c r="C29" s="57">
        <f>'App A5. Estab Costs'!$E$25</f>
        <v>180</v>
      </c>
      <c r="D29" s="57">
        <f>'App A5. Estab Costs'!$E$41</f>
        <v>135</v>
      </c>
      <c r="E29" s="57">
        <f>'App A5. Estab Costs'!$E$57</f>
        <v>140</v>
      </c>
      <c r="F29" s="57">
        <f>'App A5. Estab Costs'!$E$79</f>
        <v>160</v>
      </c>
      <c r="G29" s="57">
        <f>'App A5. Estab Costs'!$E$102</f>
        <v>180</v>
      </c>
      <c r="H29" s="57">
        <f>'App A6. Full Prod Costs'!$D$16</f>
        <v>180</v>
      </c>
      <c r="I29" s="103"/>
    </row>
    <row r="30" spans="1:12" s="104" customFormat="1" ht="18" customHeight="1" x14ac:dyDescent="0.15">
      <c r="A30" s="46" t="s">
        <v>225</v>
      </c>
      <c r="B30" s="9" t="s">
        <v>325</v>
      </c>
      <c r="C30" s="57">
        <f>SUM(C12:C29)*'App A9. Data for tables'!$C$73</f>
        <v>625.38774999999998</v>
      </c>
      <c r="D30" s="57">
        <f>SUM(D12:D29)*'App A9. Data for tables'!$C$73</f>
        <v>140.06200000000001</v>
      </c>
      <c r="E30" s="57">
        <f>SUM(E12:E29)*'App A9. Data for tables'!$C$73</f>
        <v>188.27350000000001</v>
      </c>
      <c r="F30" s="57">
        <f>SUM(F12:F29)*'App A9. Data for tables'!$C$73</f>
        <v>504.12950000000001</v>
      </c>
      <c r="G30" s="57">
        <f>SUM(G12:G29)*'App A9. Data for tables'!$C$73</f>
        <v>1163.711</v>
      </c>
      <c r="H30" s="57">
        <f>SUM(H12:H29)*'App A9. Data for tables'!$H$73</f>
        <v>1400.7110000000002</v>
      </c>
      <c r="I30" s="103"/>
      <c r="J30" s="8"/>
      <c r="K30" s="8"/>
    </row>
    <row r="31" spans="1:12" s="104" customFormat="1" ht="18" customHeight="1" x14ac:dyDescent="0.15">
      <c r="A31" s="46" t="s">
        <v>225</v>
      </c>
      <c r="B31" s="9" t="s">
        <v>326</v>
      </c>
      <c r="C31" s="57">
        <f>SUM(C12:C30)*'App A9. Data for tables'!$C$74*'App A9. Data for tables'!$C$76</f>
        <v>656.65713749999998</v>
      </c>
      <c r="D31" s="57">
        <f>SUM(D12:D30)*'App A9. Data for tables'!$D$74*'App A9. Data for tables'!$D$76</f>
        <v>147.0651</v>
      </c>
      <c r="E31" s="57">
        <f>SUM(E12:E30)*'App A9. Data for tables'!$E$74*'App A9. Data for tables'!$E$76</f>
        <v>197.68717500000002</v>
      </c>
      <c r="F31" s="57">
        <f>SUM(F12:F30)*'App A9. Data for tables'!$F$74*'App A9. Data for tables'!$F$76</f>
        <v>529.33597499999996</v>
      </c>
      <c r="G31" s="57">
        <f>SUM(G12:G30)*'App A9. Data for tables'!$G$74*'App A9. Data for tables'!$G$76</f>
        <v>1221.8965500000002</v>
      </c>
      <c r="H31" s="57">
        <f>SUM(H12:H30)*'App A9. Data for tables'!$H$74*'App A9. Data for tables'!$H$76</f>
        <v>1103.0599125000001</v>
      </c>
      <c r="I31" s="103"/>
      <c r="J31" s="8"/>
      <c r="K31" s="8"/>
    </row>
    <row r="32" spans="1:12" s="104" customFormat="1" ht="18" customHeight="1" x14ac:dyDescent="0.15">
      <c r="A32" s="48" t="s">
        <v>226</v>
      </c>
      <c r="B32" s="49" t="s">
        <v>27</v>
      </c>
      <c r="C32" s="54">
        <f>SUM(C12:C31)</f>
        <v>13789.799887499999</v>
      </c>
      <c r="D32" s="54">
        <f t="shared" ref="D32:H32" si="1">SUM(D12:D31)</f>
        <v>3088.3670999999999</v>
      </c>
      <c r="E32" s="54">
        <f t="shared" si="1"/>
        <v>4151.4306750000005</v>
      </c>
      <c r="F32" s="54">
        <f t="shared" si="1"/>
        <v>11116.055474999999</v>
      </c>
      <c r="G32" s="54">
        <f t="shared" si="1"/>
        <v>25659.827550000002</v>
      </c>
      <c r="H32" s="54">
        <f t="shared" si="1"/>
        <v>30517.990912500001</v>
      </c>
      <c r="I32" s="103"/>
      <c r="J32" s="8"/>
      <c r="K32" s="8"/>
    </row>
    <row r="33" spans="1:11" s="104" customFormat="1" ht="18" customHeight="1" x14ac:dyDescent="0.15">
      <c r="A33" s="48" t="s">
        <v>227</v>
      </c>
      <c r="B33" s="49" t="s">
        <v>228</v>
      </c>
      <c r="C33" s="71">
        <f>C11-C32</f>
        <v>-13789.799887499999</v>
      </c>
      <c r="D33" s="71">
        <f t="shared" ref="D33:H33" si="2">D11-D32</f>
        <v>-3088.3670999999999</v>
      </c>
      <c r="E33" s="71">
        <f t="shared" si="2"/>
        <v>-4151.4306750000005</v>
      </c>
      <c r="F33" s="71">
        <f t="shared" si="2"/>
        <v>-4054.0554750000001</v>
      </c>
      <c r="G33" s="71">
        <f t="shared" si="2"/>
        <v>-942.82755000000179</v>
      </c>
      <c r="H33" s="54">
        <f t="shared" si="2"/>
        <v>1261.0090874999987</v>
      </c>
      <c r="I33" s="103"/>
      <c r="J33" s="8"/>
      <c r="K33" s="8"/>
    </row>
    <row r="34" spans="1:11" s="104" customFormat="1" ht="36" customHeight="1" x14ac:dyDescent="0.15">
      <c r="A34" s="46" t="s">
        <v>229</v>
      </c>
      <c r="B34" s="9" t="s">
        <v>28</v>
      </c>
      <c r="C34" s="57">
        <f>'App A5. Estab Costs'!$E27</f>
        <v>190</v>
      </c>
      <c r="D34" s="57">
        <f>'App A5. Estab Costs'!$E43</f>
        <v>190</v>
      </c>
      <c r="E34" s="57">
        <f>'App A5. Estab Costs'!$E59</f>
        <v>190</v>
      </c>
      <c r="F34" s="57">
        <f>'App A5. Estab Costs'!$E81</f>
        <v>190</v>
      </c>
      <c r="G34" s="57">
        <f>'App A5. Estab Costs'!$E104</f>
        <v>190</v>
      </c>
      <c r="H34" s="57">
        <f>'App A6. Full Prod Costs'!$D18</f>
        <v>190</v>
      </c>
      <c r="I34" s="103"/>
      <c r="J34" s="8"/>
      <c r="K34" s="8"/>
    </row>
    <row r="35" spans="1:11" s="104" customFormat="1" ht="18" customHeight="1" x14ac:dyDescent="0.15">
      <c r="A35" s="46" t="s">
        <v>229</v>
      </c>
      <c r="B35" s="9" t="s">
        <v>29</v>
      </c>
      <c r="C35" s="57">
        <f>'App A5. Estab Costs'!$E28</f>
        <v>120</v>
      </c>
      <c r="D35" s="57">
        <f>'App A5. Estab Costs'!$E44</f>
        <v>120</v>
      </c>
      <c r="E35" s="57">
        <f>'App A5. Estab Costs'!$E60</f>
        <v>120</v>
      </c>
      <c r="F35" s="57">
        <f>'App A5. Estab Costs'!$E82</f>
        <v>120</v>
      </c>
      <c r="G35" s="57">
        <f>'App A5. Estab Costs'!$E105</f>
        <v>120</v>
      </c>
      <c r="H35" s="57">
        <f>'App A6. Full Prod Costs'!$D19</f>
        <v>120</v>
      </c>
      <c r="I35" s="103"/>
      <c r="J35" s="8"/>
      <c r="K35" s="8"/>
    </row>
    <row r="36" spans="1:11" s="104" customFormat="1" ht="18" customHeight="1" x14ac:dyDescent="0.15">
      <c r="A36" s="46" t="s">
        <v>229</v>
      </c>
      <c r="B36" s="9" t="s">
        <v>347</v>
      </c>
      <c r="C36" s="57">
        <f>'App A5. Estab Costs'!$E29</f>
        <v>425</v>
      </c>
      <c r="D36" s="57">
        <f>'App A5. Estab Costs'!$E45</f>
        <v>425</v>
      </c>
      <c r="E36" s="57">
        <f>'App A5. Estab Costs'!$E61</f>
        <v>425</v>
      </c>
      <c r="F36" s="57">
        <f>'App A5. Estab Costs'!$E83</f>
        <v>425</v>
      </c>
      <c r="G36" s="57">
        <f>'App A5. Estab Costs'!$E106</f>
        <v>425</v>
      </c>
      <c r="H36" s="57">
        <f>'App A6. Full Prod Costs'!$D20</f>
        <v>425</v>
      </c>
      <c r="I36" s="103"/>
      <c r="J36" s="8"/>
      <c r="K36" s="8"/>
    </row>
    <row r="37" spans="1:11" s="104" customFormat="1" ht="18" customHeight="1" x14ac:dyDescent="0.15">
      <c r="A37" s="48" t="s">
        <v>230</v>
      </c>
      <c r="B37" s="49" t="s">
        <v>30</v>
      </c>
      <c r="C37" s="54">
        <f t="shared" ref="C37:H37" si="3">SUM(C34:C36)</f>
        <v>735</v>
      </c>
      <c r="D37" s="54">
        <f t="shared" si="3"/>
        <v>735</v>
      </c>
      <c r="E37" s="54">
        <f t="shared" si="3"/>
        <v>735</v>
      </c>
      <c r="F37" s="54">
        <f t="shared" si="3"/>
        <v>735</v>
      </c>
      <c r="G37" s="54">
        <f t="shared" si="3"/>
        <v>735</v>
      </c>
      <c r="H37" s="54">
        <f t="shared" si="3"/>
        <v>735</v>
      </c>
      <c r="I37" s="103"/>
      <c r="J37" s="8"/>
      <c r="K37" s="8"/>
    </row>
    <row r="38" spans="1:11" s="104" customFormat="1" ht="49.5" customHeight="1" x14ac:dyDescent="0.15">
      <c r="A38" s="50" t="s">
        <v>231</v>
      </c>
      <c r="B38" s="49" t="s">
        <v>31</v>
      </c>
      <c r="C38" s="54">
        <f t="shared" ref="C38:H38" si="4">C32+C37</f>
        <v>14524.799887499999</v>
      </c>
      <c r="D38" s="54">
        <f t="shared" si="4"/>
        <v>3823.3670999999999</v>
      </c>
      <c r="E38" s="54">
        <f t="shared" si="4"/>
        <v>4886.4306750000005</v>
      </c>
      <c r="F38" s="54">
        <f t="shared" si="4"/>
        <v>11851.055474999999</v>
      </c>
      <c r="G38" s="54">
        <f t="shared" si="4"/>
        <v>26394.827550000002</v>
      </c>
      <c r="H38" s="54">
        <f t="shared" si="4"/>
        <v>31252.990912500001</v>
      </c>
      <c r="I38" s="103"/>
      <c r="J38" s="8"/>
      <c r="K38" s="8"/>
    </row>
    <row r="39" spans="1:11" s="104" customFormat="1" ht="18" customHeight="1" x14ac:dyDescent="0.15">
      <c r="A39" s="50" t="s">
        <v>227</v>
      </c>
      <c r="B39" s="49" t="s">
        <v>32</v>
      </c>
      <c r="C39" s="71">
        <f t="shared" ref="C39:H39" si="5">C11-C38</f>
        <v>-14524.799887499999</v>
      </c>
      <c r="D39" s="71">
        <f t="shared" si="5"/>
        <v>-3823.3670999999999</v>
      </c>
      <c r="E39" s="71">
        <f t="shared" si="5"/>
        <v>-4886.4306750000005</v>
      </c>
      <c r="F39" s="71">
        <f t="shared" si="5"/>
        <v>-4789.0554750000001</v>
      </c>
      <c r="G39" s="71">
        <f t="shared" si="5"/>
        <v>-1677.8275500000018</v>
      </c>
      <c r="H39" s="54">
        <f t="shared" si="5"/>
        <v>526.00908749999871</v>
      </c>
      <c r="I39" s="103"/>
      <c r="J39" s="8"/>
      <c r="K39" s="8"/>
    </row>
    <row r="40" spans="1:11" s="104" customFormat="1" ht="36" customHeight="1" x14ac:dyDescent="0.15">
      <c r="A40" s="51" t="s">
        <v>33</v>
      </c>
      <c r="B40" s="9" t="s">
        <v>34</v>
      </c>
      <c r="C40" s="57">
        <f>'App A4. Depreciation'!$F3</f>
        <v>127.71666666666667</v>
      </c>
      <c r="D40" s="57">
        <f>'App A4. Depreciation'!$F3</f>
        <v>127.71666666666667</v>
      </c>
      <c r="E40" s="57">
        <f>'App A4. Depreciation'!$F3</f>
        <v>127.71666666666667</v>
      </c>
      <c r="F40" s="57">
        <f>'App A4. Depreciation'!$F3</f>
        <v>127.71666666666667</v>
      </c>
      <c r="G40" s="57">
        <f>'App A4. Depreciation'!$F3</f>
        <v>127.71666666666667</v>
      </c>
      <c r="H40" s="57">
        <f>'App A4. Depreciation'!$F3</f>
        <v>127.71666666666667</v>
      </c>
      <c r="I40" s="103"/>
    </row>
    <row r="41" spans="1:11" s="104" customFormat="1" ht="18" customHeight="1" x14ac:dyDescent="0.15">
      <c r="A41" s="51" t="s">
        <v>33</v>
      </c>
      <c r="B41" s="9" t="s">
        <v>367</v>
      </c>
      <c r="C41" s="57">
        <f>'App A4. Depreciation'!$F4</f>
        <v>0</v>
      </c>
      <c r="D41" s="57">
        <f>'App A4. Depreciation'!$F4</f>
        <v>0</v>
      </c>
      <c r="E41" s="57">
        <f>'App A4. Depreciation'!$F4</f>
        <v>0</v>
      </c>
      <c r="F41" s="57">
        <f>'App A4. Depreciation'!$F4</f>
        <v>0</v>
      </c>
      <c r="G41" s="57">
        <f>'App A4. Depreciation'!$F4</f>
        <v>0</v>
      </c>
      <c r="H41" s="57">
        <f>'App A4. Depreciation'!$F4</f>
        <v>0</v>
      </c>
      <c r="I41" s="103"/>
    </row>
    <row r="42" spans="1:11" s="104" customFormat="1" ht="18" customHeight="1" x14ac:dyDescent="0.15">
      <c r="A42" s="51" t="s">
        <v>33</v>
      </c>
      <c r="B42" s="9" t="s">
        <v>311</v>
      </c>
      <c r="C42" s="57">
        <f>'App A4. Depreciation'!$F5</f>
        <v>0</v>
      </c>
      <c r="D42" s="57">
        <f>'App A4. Depreciation'!$F5</f>
        <v>0</v>
      </c>
      <c r="E42" s="57">
        <f>'App A4. Depreciation'!$F5</f>
        <v>0</v>
      </c>
      <c r="F42" s="57">
        <f>'App A4. Depreciation'!$F5</f>
        <v>0</v>
      </c>
      <c r="G42" s="57">
        <f>'App A4. Depreciation'!$F5</f>
        <v>0</v>
      </c>
      <c r="H42" s="57">
        <f>'App A4. Depreciation'!$F5</f>
        <v>0</v>
      </c>
      <c r="I42" s="103"/>
    </row>
    <row r="43" spans="1:11" s="104" customFormat="1" ht="18" customHeight="1" x14ac:dyDescent="0.15">
      <c r="A43" s="51" t="s">
        <v>33</v>
      </c>
      <c r="B43" s="9" t="s">
        <v>35</v>
      </c>
      <c r="C43" s="57">
        <f>'App A4. Depreciation'!$F$10</f>
        <v>378.40666666666669</v>
      </c>
      <c r="D43" s="57">
        <f>'App A4. Depreciation'!$F$10</f>
        <v>378.40666666666669</v>
      </c>
      <c r="E43" s="57">
        <f>'App A4. Depreciation'!$F$10</f>
        <v>378.40666666666669</v>
      </c>
      <c r="F43" s="57">
        <f>'App A4. Depreciation'!$F$10</f>
        <v>378.40666666666669</v>
      </c>
      <c r="G43" s="57">
        <f>'App A4. Depreciation'!$F$10</f>
        <v>378.40666666666669</v>
      </c>
      <c r="H43" s="57">
        <f>'App A4. Depreciation'!$F$10</f>
        <v>378.40666666666669</v>
      </c>
      <c r="I43" s="103"/>
    </row>
    <row r="44" spans="1:11" s="104" customFormat="1" ht="18" customHeight="1" x14ac:dyDescent="0.15">
      <c r="A44" s="51" t="s">
        <v>33</v>
      </c>
      <c r="B44" s="9" t="s">
        <v>36</v>
      </c>
      <c r="C44" s="57">
        <f>'App A4. Depreciation'!$F6</f>
        <v>0</v>
      </c>
      <c r="D44" s="57">
        <f>'App A4. Depreciation'!$F6</f>
        <v>0</v>
      </c>
      <c r="E44" s="57">
        <f>'App A4. Depreciation'!$F6</f>
        <v>0</v>
      </c>
      <c r="F44" s="57">
        <f>'App A4. Depreciation'!$F6</f>
        <v>0</v>
      </c>
      <c r="G44" s="57">
        <f>'App A4. Depreciation'!$F6</f>
        <v>0</v>
      </c>
      <c r="H44" s="57">
        <f>'App A4. Depreciation'!$F6</f>
        <v>0</v>
      </c>
      <c r="I44" s="103"/>
    </row>
    <row r="45" spans="1:11" s="104" customFormat="1" ht="18" customHeight="1" x14ac:dyDescent="0.15">
      <c r="A45" s="51" t="s">
        <v>33</v>
      </c>
      <c r="B45" s="9" t="s">
        <v>37</v>
      </c>
      <c r="C45" s="57">
        <f>'App A4. Depreciation'!$F7</f>
        <v>0</v>
      </c>
      <c r="D45" s="57">
        <f>'App A4. Depreciation'!$F7</f>
        <v>0</v>
      </c>
      <c r="E45" s="57">
        <f>'App A4. Depreciation'!$F7</f>
        <v>0</v>
      </c>
      <c r="F45" s="57">
        <f>'App A4. Depreciation'!$F7</f>
        <v>0</v>
      </c>
      <c r="G45" s="57">
        <f>'App A4. Depreciation'!$F7</f>
        <v>0</v>
      </c>
      <c r="H45" s="57">
        <f>'App A4. Depreciation'!$F7</f>
        <v>0</v>
      </c>
      <c r="I45" s="103"/>
    </row>
    <row r="46" spans="1:11" s="104" customFormat="1" ht="18" customHeight="1" x14ac:dyDescent="0.15">
      <c r="A46" s="51" t="s">
        <v>33</v>
      </c>
      <c r="B46" s="9" t="s">
        <v>38</v>
      </c>
      <c r="C46" s="57">
        <f>'App A4. Depreciation'!$F8</f>
        <v>140</v>
      </c>
      <c r="D46" s="57">
        <f>'App A4. Depreciation'!$F8</f>
        <v>140</v>
      </c>
      <c r="E46" s="57">
        <f>'App A4. Depreciation'!$F8</f>
        <v>140</v>
      </c>
      <c r="F46" s="57">
        <f>'App A4. Depreciation'!$F8</f>
        <v>140</v>
      </c>
      <c r="G46" s="57">
        <f>'App A4. Depreciation'!$F8</f>
        <v>140</v>
      </c>
      <c r="H46" s="57">
        <f>'App A4. Depreciation'!$F8</f>
        <v>140</v>
      </c>
      <c r="I46" s="103"/>
    </row>
    <row r="47" spans="1:11" s="104" customFormat="1" ht="18" customHeight="1" x14ac:dyDescent="0.15">
      <c r="A47" s="51" t="s">
        <v>33</v>
      </c>
      <c r="B47" s="9" t="s">
        <v>39</v>
      </c>
      <c r="C47" s="57">
        <f>'App A4. Depreciation'!$F9</f>
        <v>131.81818181818181</v>
      </c>
      <c r="D47" s="57">
        <f>'App A4. Depreciation'!$F9</f>
        <v>131.81818181818181</v>
      </c>
      <c r="E47" s="57">
        <f>'App A4. Depreciation'!$F9</f>
        <v>131.81818181818181</v>
      </c>
      <c r="F47" s="57">
        <f>'App A4. Depreciation'!$F9</f>
        <v>131.81818181818181</v>
      </c>
      <c r="G47" s="57">
        <f>'App A4. Depreciation'!$F9</f>
        <v>131.81818181818181</v>
      </c>
      <c r="H47" s="57">
        <f>'App A4. Depreciation'!$F9</f>
        <v>131.81818181818181</v>
      </c>
      <c r="I47" s="103"/>
    </row>
    <row r="48" spans="1:11" s="104" customFormat="1" ht="18" customHeight="1" x14ac:dyDescent="0.15">
      <c r="A48" s="46" t="s">
        <v>40</v>
      </c>
      <c r="B48" s="9" t="s">
        <v>34</v>
      </c>
      <c r="C48" s="57">
        <f>'App A3. Interest'!$F$3</f>
        <v>95.787500000000009</v>
      </c>
      <c r="D48" s="57">
        <f>'App A3. Interest'!$F$3</f>
        <v>95.787500000000009</v>
      </c>
      <c r="E48" s="57">
        <f>'App A3. Interest'!$F$3</f>
        <v>95.787500000000009</v>
      </c>
      <c r="F48" s="57">
        <f>'App A3. Interest'!$F$3</f>
        <v>95.787500000000009</v>
      </c>
      <c r="G48" s="57">
        <f>'App A3. Interest'!$F$3</f>
        <v>95.787500000000009</v>
      </c>
      <c r="H48" s="57">
        <f>'App A3. Interest'!$F$3</f>
        <v>95.787500000000009</v>
      </c>
      <c r="I48" s="103"/>
    </row>
    <row r="49" spans="1:12" s="104" customFormat="1" ht="18" customHeight="1" x14ac:dyDescent="0.15">
      <c r="A49" s="46" t="s">
        <v>40</v>
      </c>
      <c r="B49" s="9" t="s">
        <v>367</v>
      </c>
      <c r="C49" s="57">
        <f>'App A3. Interest'!$F$4</f>
        <v>0</v>
      </c>
      <c r="D49" s="57">
        <f>'App A3. Interest'!$F$4</f>
        <v>0</v>
      </c>
      <c r="E49" s="57">
        <f>'App A3. Interest'!$F$4</f>
        <v>0</v>
      </c>
      <c r="F49" s="57">
        <f>'App A3. Interest'!$F$4</f>
        <v>0</v>
      </c>
      <c r="G49" s="57">
        <f>'App A3. Interest'!$F$4</f>
        <v>0</v>
      </c>
      <c r="H49" s="57">
        <f>'App A3. Interest'!$F$4</f>
        <v>0</v>
      </c>
      <c r="I49" s="103"/>
    </row>
    <row r="50" spans="1:12" s="104" customFormat="1" ht="18" customHeight="1" x14ac:dyDescent="0.15">
      <c r="A50" s="46" t="s">
        <v>40</v>
      </c>
      <c r="B50" s="9" t="s">
        <v>165</v>
      </c>
      <c r="C50" s="57">
        <f>'App A3. Interest'!$F$5</f>
        <v>0</v>
      </c>
      <c r="D50" s="57">
        <f>'App A3. Interest'!$F$5</f>
        <v>0</v>
      </c>
      <c r="E50" s="57">
        <f>'App A3. Interest'!$F$5</f>
        <v>0</v>
      </c>
      <c r="F50" s="57">
        <f>'App A3. Interest'!$F$5</f>
        <v>0</v>
      </c>
      <c r="G50" s="57">
        <f>'App A3. Interest'!$F$5</f>
        <v>0</v>
      </c>
      <c r="H50" s="57">
        <f>'App A3. Interest'!$F$5</f>
        <v>0</v>
      </c>
      <c r="I50" s="103"/>
    </row>
    <row r="51" spans="1:12" s="104" customFormat="1" ht="18" customHeight="1" x14ac:dyDescent="0.15">
      <c r="A51" s="46" t="s">
        <v>40</v>
      </c>
      <c r="B51" s="9" t="s">
        <v>329</v>
      </c>
      <c r="C51" s="57">
        <f>'App A3. Interest'!$F$6</f>
        <v>900</v>
      </c>
      <c r="D51" s="57">
        <f>'App A3. Interest'!$F$6</f>
        <v>900</v>
      </c>
      <c r="E51" s="57">
        <f>'App A3. Interest'!$F$6</f>
        <v>900</v>
      </c>
      <c r="F51" s="57">
        <f>'App A3. Interest'!$F$6</f>
        <v>900</v>
      </c>
      <c r="G51" s="57">
        <f>'App A3. Interest'!$F$6</f>
        <v>900</v>
      </c>
      <c r="H51" s="57">
        <f>'App A3. Interest'!$F$6</f>
        <v>900</v>
      </c>
      <c r="I51" s="103"/>
    </row>
    <row r="52" spans="1:12" s="104" customFormat="1" ht="18" customHeight="1" x14ac:dyDescent="0.15">
      <c r="A52" s="46" t="s">
        <v>40</v>
      </c>
      <c r="B52" s="9" t="s">
        <v>35</v>
      </c>
      <c r="C52" s="57">
        <f>'App A3. Interest'!$F$7</f>
        <v>120.83166666666666</v>
      </c>
      <c r="D52" s="57">
        <f>'App A3. Interest'!$F$7</f>
        <v>120.83166666666666</v>
      </c>
      <c r="E52" s="57">
        <f>'App A3. Interest'!$F$7</f>
        <v>120.83166666666666</v>
      </c>
      <c r="F52" s="57">
        <f>'App A3. Interest'!$F$7</f>
        <v>120.83166666666666</v>
      </c>
      <c r="G52" s="57">
        <f>'App A3. Interest'!$F$7</f>
        <v>120.83166666666666</v>
      </c>
      <c r="H52" s="57">
        <f>'App A3. Interest'!$F$7</f>
        <v>120.83166666666666</v>
      </c>
      <c r="I52" s="103"/>
    </row>
    <row r="53" spans="1:12" s="104" customFormat="1" ht="18" customHeight="1" x14ac:dyDescent="0.15">
      <c r="A53" s="46" t="s">
        <v>40</v>
      </c>
      <c r="B53" s="9" t="s">
        <v>36</v>
      </c>
      <c r="C53" s="57">
        <f>'App A3. Interest'!$F$8</f>
        <v>0</v>
      </c>
      <c r="D53" s="57">
        <f>'App A3. Interest'!$F$8</f>
        <v>0</v>
      </c>
      <c r="E53" s="57">
        <f>'App A3. Interest'!$F$8</f>
        <v>0</v>
      </c>
      <c r="F53" s="57">
        <f>'App A3. Interest'!$F$8</f>
        <v>0</v>
      </c>
      <c r="G53" s="57">
        <f>'App A3. Interest'!$F$8</f>
        <v>0</v>
      </c>
      <c r="H53" s="57">
        <f>'App A3. Interest'!$F$8</f>
        <v>0</v>
      </c>
      <c r="I53" s="103"/>
    </row>
    <row r="54" spans="1:12" s="104" customFormat="1" ht="18" customHeight="1" x14ac:dyDescent="0.15">
      <c r="A54" s="46" t="s">
        <v>40</v>
      </c>
      <c r="B54" s="9" t="s">
        <v>37</v>
      </c>
      <c r="C54" s="57">
        <f>'App A3. Interest'!$F$9</f>
        <v>0</v>
      </c>
      <c r="D54" s="57">
        <f>'App A3. Interest'!$F$9</f>
        <v>0</v>
      </c>
      <c r="E54" s="57">
        <f>'App A3. Interest'!$F$9</f>
        <v>0</v>
      </c>
      <c r="F54" s="57">
        <f>'App A3. Interest'!$F$9</f>
        <v>0</v>
      </c>
      <c r="G54" s="57">
        <f>'App A3. Interest'!$F$9</f>
        <v>0</v>
      </c>
      <c r="H54" s="57">
        <f>'App A3. Interest'!$F$9</f>
        <v>0</v>
      </c>
      <c r="I54" s="103"/>
    </row>
    <row r="55" spans="1:12" s="104" customFormat="1" ht="18" customHeight="1" x14ac:dyDescent="0.15">
      <c r="A55" s="46" t="s">
        <v>40</v>
      </c>
      <c r="B55" s="9" t="s">
        <v>38</v>
      </c>
      <c r="C55" s="57">
        <f>'App A3. Interest'!$F$10</f>
        <v>87.5</v>
      </c>
      <c r="D55" s="57">
        <f>'App A3. Interest'!$F$10</f>
        <v>87.5</v>
      </c>
      <c r="E55" s="57">
        <f>'App A3. Interest'!$F$10</f>
        <v>87.5</v>
      </c>
      <c r="F55" s="57">
        <f>'App A3. Interest'!$F$10</f>
        <v>87.5</v>
      </c>
      <c r="G55" s="57">
        <f>'App A3. Interest'!$F$10</f>
        <v>87.5</v>
      </c>
      <c r="H55" s="57">
        <f>'App A3. Interest'!$F$10</f>
        <v>87.5</v>
      </c>
      <c r="I55" s="103"/>
    </row>
    <row r="56" spans="1:12" s="104" customFormat="1" ht="18" customHeight="1" x14ac:dyDescent="0.15">
      <c r="A56" s="46" t="s">
        <v>40</v>
      </c>
      <c r="B56" s="9" t="s">
        <v>41</v>
      </c>
      <c r="C56" s="57">
        <f>'App A3. Interest'!$F$11</f>
        <v>98.86363636363636</v>
      </c>
      <c r="D56" s="57">
        <f>'App A3. Interest'!$F$11</f>
        <v>98.86363636363636</v>
      </c>
      <c r="E56" s="57">
        <f>'App A3. Interest'!$F$11</f>
        <v>98.86363636363636</v>
      </c>
      <c r="F56" s="57">
        <f>'App A3. Interest'!$F$11</f>
        <v>98.86363636363636</v>
      </c>
      <c r="G56" s="57">
        <f>'App A3. Interest'!$F$11</f>
        <v>98.86363636363636</v>
      </c>
      <c r="H56" s="57">
        <f>'App A3. Interest'!$F$11</f>
        <v>98.86363636363636</v>
      </c>
      <c r="I56" s="103"/>
      <c r="J56" s="8"/>
      <c r="K56" s="8"/>
      <c r="L56" s="8"/>
    </row>
    <row r="57" spans="1:12" s="104" customFormat="1" ht="18" customHeight="1" x14ac:dyDescent="0.15">
      <c r="A57" s="46" t="s">
        <v>40</v>
      </c>
      <c r="B57" s="9" t="s">
        <v>42</v>
      </c>
      <c r="C57" s="57">
        <v>0</v>
      </c>
      <c r="D57" s="57">
        <f>C65*'App A9. Data for tables'!$C$75</f>
        <v>865.28621028409088</v>
      </c>
      <c r="E57" s="57">
        <f>D65*'App A9. Data for tables'!$D$75</f>
        <v>1238.7650917073865</v>
      </c>
      <c r="F57" s="57">
        <f>E65*'App A9. Data for tables'!$E$75</f>
        <v>1684.0710959518467</v>
      </c>
      <c r="G57" s="57">
        <f>F65*'App A9. Data for tables'!$F$75</f>
        <v>2146.7736404085299</v>
      </c>
      <c r="H57" s="57">
        <v>0</v>
      </c>
      <c r="I57" s="103"/>
      <c r="J57" s="8"/>
      <c r="K57" s="8"/>
      <c r="L57" s="8"/>
    </row>
    <row r="58" spans="1:12" s="104" customFormat="1" ht="18" customHeight="1" x14ac:dyDescent="0.15">
      <c r="A58" s="9" t="s">
        <v>232</v>
      </c>
      <c r="B58" s="9" t="s">
        <v>43</v>
      </c>
      <c r="C58" s="57">
        <f>'App A5. Estab Costs'!$E$30</f>
        <v>700</v>
      </c>
      <c r="D58" s="57">
        <f>'App A5. Estab Costs'!$E$46</f>
        <v>700</v>
      </c>
      <c r="E58" s="57">
        <f>'App A5. Estab Costs'!$E$62</f>
        <v>700</v>
      </c>
      <c r="F58" s="57">
        <f>'App A5. Estab Costs'!$E$84</f>
        <v>700</v>
      </c>
      <c r="G58" s="57">
        <f>'App A5. Estab Costs'!E107</f>
        <v>700</v>
      </c>
      <c r="H58" s="57">
        <f>'App A6. Full Prod Costs'!$D$21</f>
        <v>700</v>
      </c>
      <c r="I58" s="103"/>
      <c r="J58" s="8"/>
      <c r="K58" s="8"/>
      <c r="L58" s="8"/>
    </row>
    <row r="59" spans="1:12" s="104" customFormat="1" ht="18" customHeight="1" x14ac:dyDescent="0.15">
      <c r="A59" s="9" t="s">
        <v>232</v>
      </c>
      <c r="B59" s="9" t="s">
        <v>330</v>
      </c>
      <c r="C59" s="57">
        <v>0</v>
      </c>
      <c r="D59" s="57">
        <v>0</v>
      </c>
      <c r="E59" s="57">
        <v>0</v>
      </c>
      <c r="F59" s="57">
        <v>0</v>
      </c>
      <c r="G59" s="57">
        <v>0</v>
      </c>
      <c r="H59" s="57">
        <f>-'App A8. Amort Calc'!B7</f>
        <v>3975.2978769465817</v>
      </c>
      <c r="I59" s="103"/>
      <c r="J59" s="8"/>
      <c r="K59" s="8"/>
      <c r="L59" s="8"/>
    </row>
    <row r="60" spans="1:12" s="104" customFormat="1" ht="45" x14ac:dyDescent="0.15">
      <c r="A60" s="50" t="s">
        <v>233</v>
      </c>
      <c r="B60" s="49" t="s">
        <v>44</v>
      </c>
      <c r="C60" s="54">
        <f t="shared" ref="C60:G60" si="6">SUM(C40:C59)</f>
        <v>2780.9243181818183</v>
      </c>
      <c r="D60" s="54">
        <f t="shared" si="6"/>
        <v>3646.2105284659092</v>
      </c>
      <c r="E60" s="54">
        <f t="shared" si="6"/>
        <v>4019.6894098892049</v>
      </c>
      <c r="F60" s="54">
        <f t="shared" si="6"/>
        <v>4464.9954141336648</v>
      </c>
      <c r="G60" s="54">
        <f t="shared" si="6"/>
        <v>4927.6979585903482</v>
      </c>
      <c r="H60" s="54">
        <f>SUM(H40:H59)</f>
        <v>6756.2221951284</v>
      </c>
      <c r="I60" s="103"/>
      <c r="J60" s="8"/>
      <c r="K60" s="8"/>
      <c r="L60" s="8"/>
    </row>
    <row r="61" spans="1:12" s="104" customFormat="1" ht="36" customHeight="1" x14ac:dyDescent="0.15">
      <c r="A61" s="48" t="s">
        <v>227</v>
      </c>
      <c r="B61" s="49" t="s">
        <v>45</v>
      </c>
      <c r="C61" s="156">
        <f t="shared" ref="C61:H61" si="7">C11-SUM(C38,C40:C47)</f>
        <v>-15302.741402651514</v>
      </c>
      <c r="D61" s="156">
        <f t="shared" si="7"/>
        <v>-4601.3086151515154</v>
      </c>
      <c r="E61" s="156">
        <f t="shared" si="7"/>
        <v>-5664.3721901515155</v>
      </c>
      <c r="F61" s="156">
        <f t="shared" si="7"/>
        <v>-5566.9969901515151</v>
      </c>
      <c r="G61" s="156">
        <f t="shared" si="7"/>
        <v>-2455.769065151515</v>
      </c>
      <c r="H61" s="156">
        <f t="shared" si="7"/>
        <v>-251.93242765151444</v>
      </c>
      <c r="I61" s="103"/>
      <c r="J61" s="8"/>
      <c r="K61" s="8"/>
      <c r="L61" s="8"/>
    </row>
    <row r="62" spans="1:12" s="104" customFormat="1" ht="36" customHeight="1" x14ac:dyDescent="0.15">
      <c r="A62" s="50" t="s">
        <v>234</v>
      </c>
      <c r="B62" s="49" t="s">
        <v>46</v>
      </c>
      <c r="C62" s="54">
        <f t="shared" ref="C62:G62" si="8">C37+C60</f>
        <v>3515.9243181818183</v>
      </c>
      <c r="D62" s="54">
        <f t="shared" si="8"/>
        <v>4381.2105284659092</v>
      </c>
      <c r="E62" s="54">
        <f t="shared" si="8"/>
        <v>4754.6894098892044</v>
      </c>
      <c r="F62" s="54">
        <f t="shared" si="8"/>
        <v>5199.9954141336648</v>
      </c>
      <c r="G62" s="54">
        <f t="shared" si="8"/>
        <v>5662.6979585903482</v>
      </c>
      <c r="H62" s="54">
        <f>H37+H60</f>
        <v>7491.2221951284</v>
      </c>
      <c r="I62" s="103"/>
      <c r="J62" s="8"/>
      <c r="K62" s="8"/>
      <c r="L62" s="8"/>
    </row>
    <row r="63" spans="1:12" s="104" customFormat="1" ht="36" customHeight="1" x14ac:dyDescent="0.15">
      <c r="A63" s="48" t="s">
        <v>235</v>
      </c>
      <c r="B63" s="153" t="s">
        <v>236</v>
      </c>
      <c r="C63" s="54">
        <f t="shared" ref="C63:H63" si="9">C32+C62</f>
        <v>17305.724205681818</v>
      </c>
      <c r="D63" s="54">
        <f t="shared" si="9"/>
        <v>7469.5776284659096</v>
      </c>
      <c r="E63" s="54">
        <f t="shared" si="9"/>
        <v>8906.120084889204</v>
      </c>
      <c r="F63" s="54">
        <f t="shared" si="9"/>
        <v>16316.050889133665</v>
      </c>
      <c r="G63" s="54">
        <f t="shared" si="9"/>
        <v>31322.525508590348</v>
      </c>
      <c r="H63" s="54">
        <f t="shared" si="9"/>
        <v>38009.213107628399</v>
      </c>
      <c r="I63" s="103"/>
      <c r="J63" s="8"/>
      <c r="K63" s="8"/>
      <c r="L63" s="8"/>
    </row>
    <row r="64" spans="1:12" s="104" customFormat="1" ht="36" customHeight="1" x14ac:dyDescent="0.15">
      <c r="A64" s="50" t="s">
        <v>237</v>
      </c>
      <c r="B64" s="153" t="s">
        <v>47</v>
      </c>
      <c r="C64" s="71">
        <f t="shared" ref="C64:H64" si="10">C11-C63</f>
        <v>-17305.724205681818</v>
      </c>
      <c r="D64" s="71">
        <f t="shared" si="10"/>
        <v>-7469.5776284659096</v>
      </c>
      <c r="E64" s="71">
        <f t="shared" si="10"/>
        <v>-8906.120084889204</v>
      </c>
      <c r="F64" s="71">
        <f t="shared" si="10"/>
        <v>-9254.0508891336649</v>
      </c>
      <c r="G64" s="71">
        <f t="shared" si="10"/>
        <v>-6605.5255085903482</v>
      </c>
      <c r="H64" s="71">
        <f t="shared" si="10"/>
        <v>-6230.2131076283986</v>
      </c>
      <c r="I64" s="103"/>
      <c r="J64" s="8"/>
      <c r="K64" s="157"/>
      <c r="L64" s="8"/>
    </row>
    <row r="65" spans="1:12" s="104" customFormat="1" ht="36" customHeight="1" x14ac:dyDescent="0.15">
      <c r="A65" s="46" t="s">
        <v>238</v>
      </c>
      <c r="B65" s="9" t="s">
        <v>48</v>
      </c>
      <c r="C65" s="57">
        <f>C63-C11</f>
        <v>17305.724205681818</v>
      </c>
      <c r="D65" s="57">
        <f>SUM(C63:D63)-SUM(C11:D11)</f>
        <v>24775.301834147729</v>
      </c>
      <c r="E65" s="57">
        <f>SUM(C63:E63)-SUM(C11:E11)</f>
        <v>33681.421919036933</v>
      </c>
      <c r="F65" s="57">
        <f>SUM(C63:F63)-SUM(C11:F11)</f>
        <v>42935.472808170598</v>
      </c>
      <c r="G65" s="57">
        <f>SUM(C63:G63)-SUM(C11:G11)</f>
        <v>49540.998316760946</v>
      </c>
      <c r="H65" s="57">
        <v>0</v>
      </c>
      <c r="I65" s="103"/>
      <c r="J65" s="8"/>
      <c r="K65" s="8"/>
      <c r="L65" s="8"/>
    </row>
    <row r="66" spans="1:12" s="20" customFormat="1" x14ac:dyDescent="0.2">
      <c r="A66" s="234" t="s">
        <v>49</v>
      </c>
      <c r="B66" s="234"/>
      <c r="C66" s="234"/>
      <c r="D66" s="234"/>
      <c r="E66" s="234"/>
      <c r="F66" s="234"/>
      <c r="G66" s="234"/>
      <c r="H66" s="234"/>
      <c r="I66" s="234"/>
      <c r="J66" s="234"/>
      <c r="K66" s="234"/>
    </row>
    <row r="67" spans="1:12" s="20" customFormat="1" ht="18" customHeight="1" x14ac:dyDescent="0.2">
      <c r="A67" s="234" t="s">
        <v>460</v>
      </c>
      <c r="B67" s="234"/>
      <c r="C67" s="234"/>
      <c r="D67" s="234"/>
      <c r="E67" s="234"/>
      <c r="F67" s="234"/>
      <c r="G67" s="234"/>
      <c r="H67" s="234"/>
      <c r="I67" s="234"/>
      <c r="J67" s="234"/>
      <c r="K67" s="234"/>
    </row>
    <row r="68" spans="1:12" s="20" customFormat="1" ht="18" customHeight="1" x14ac:dyDescent="0.2">
      <c r="A68" s="234" t="s">
        <v>292</v>
      </c>
      <c r="B68" s="234"/>
      <c r="C68" s="234"/>
      <c r="D68" s="234"/>
      <c r="E68" s="234"/>
      <c r="F68" s="234"/>
      <c r="G68" s="234"/>
      <c r="H68" s="234"/>
      <c r="I68" s="234"/>
      <c r="J68" s="234"/>
      <c r="K68" s="234"/>
    </row>
    <row r="69" spans="1:12" s="20" customFormat="1" ht="18" customHeight="1" x14ac:dyDescent="0.2">
      <c r="A69" s="234" t="s">
        <v>303</v>
      </c>
      <c r="B69" s="234"/>
      <c r="C69" s="234"/>
      <c r="D69" s="234"/>
      <c r="E69" s="234"/>
      <c r="F69" s="234"/>
      <c r="G69" s="234"/>
      <c r="H69" s="234"/>
      <c r="I69" s="234"/>
      <c r="J69" s="234"/>
      <c r="K69" s="234"/>
    </row>
    <row r="70" spans="1:12" s="20" customFormat="1" ht="18" customHeight="1" x14ac:dyDescent="0.2">
      <c r="A70" s="234" t="s">
        <v>313</v>
      </c>
      <c r="B70" s="234"/>
      <c r="C70" s="234"/>
      <c r="D70" s="234"/>
      <c r="E70" s="234"/>
      <c r="F70" s="234"/>
      <c r="G70" s="234"/>
      <c r="H70" s="234"/>
      <c r="I70" s="234"/>
      <c r="J70" s="234"/>
      <c r="K70" s="234"/>
    </row>
    <row r="71" spans="1:12" s="20" customFormat="1" ht="18" customHeight="1" x14ac:dyDescent="0.2">
      <c r="A71" s="234" t="s">
        <v>316</v>
      </c>
      <c r="B71" s="234"/>
      <c r="C71" s="234"/>
      <c r="D71" s="234"/>
      <c r="E71" s="234"/>
      <c r="F71" s="234"/>
      <c r="G71" s="234"/>
      <c r="H71" s="234"/>
      <c r="I71" s="234"/>
      <c r="J71" s="234"/>
      <c r="K71" s="234"/>
    </row>
    <row r="72" spans="1:12" s="20" customFormat="1" ht="18" customHeight="1" x14ac:dyDescent="0.2">
      <c r="A72" s="234" t="s">
        <v>319</v>
      </c>
      <c r="B72" s="234"/>
      <c r="C72" s="234"/>
      <c r="D72" s="234"/>
      <c r="E72" s="234"/>
      <c r="F72" s="234"/>
      <c r="G72" s="234"/>
      <c r="H72" s="234"/>
      <c r="I72" s="234"/>
      <c r="J72" s="234"/>
      <c r="K72" s="234"/>
    </row>
    <row r="73" spans="1:12" s="20" customFormat="1" ht="18" customHeight="1" x14ac:dyDescent="0.2">
      <c r="A73" s="234" t="s">
        <v>321</v>
      </c>
      <c r="B73" s="234"/>
      <c r="C73" s="234"/>
      <c r="D73" s="234"/>
      <c r="E73" s="234"/>
      <c r="F73" s="234"/>
      <c r="G73" s="234"/>
      <c r="H73" s="234"/>
      <c r="I73" s="234"/>
      <c r="J73" s="234"/>
      <c r="K73" s="234"/>
    </row>
    <row r="74" spans="1:12" s="20" customFormat="1" ht="18" customHeight="1" x14ac:dyDescent="0.2">
      <c r="A74" s="234" t="s">
        <v>480</v>
      </c>
      <c r="B74" s="234"/>
      <c r="C74" s="234"/>
      <c r="D74" s="234"/>
      <c r="E74" s="234"/>
      <c r="F74" s="234"/>
      <c r="G74" s="234"/>
      <c r="H74" s="234"/>
      <c r="I74" s="234"/>
      <c r="J74" s="234"/>
      <c r="K74" s="234"/>
    </row>
    <row r="75" spans="1:12" s="20" customFormat="1" ht="18" customHeight="1" x14ac:dyDescent="0.2">
      <c r="A75" s="236" t="s">
        <v>481</v>
      </c>
      <c r="B75" s="236"/>
      <c r="C75" s="236"/>
      <c r="D75" s="236"/>
      <c r="E75" s="236"/>
      <c r="F75" s="236"/>
      <c r="G75" s="236"/>
      <c r="H75" s="236"/>
      <c r="I75" s="236"/>
      <c r="J75" s="236"/>
      <c r="K75" s="236"/>
    </row>
    <row r="76" spans="1:12" s="20" customFormat="1" ht="18" customHeight="1" x14ac:dyDescent="0.2">
      <c r="A76" s="236" t="s">
        <v>327</v>
      </c>
      <c r="B76" s="236"/>
      <c r="C76" s="236"/>
      <c r="D76" s="236"/>
      <c r="E76" s="236"/>
      <c r="F76" s="236"/>
      <c r="G76" s="236"/>
      <c r="H76" s="236"/>
      <c r="I76" s="236"/>
      <c r="J76" s="236"/>
      <c r="K76" s="236"/>
    </row>
    <row r="77" spans="1:12" s="20" customFormat="1" ht="18" customHeight="1" x14ac:dyDescent="0.2">
      <c r="A77" s="236" t="s">
        <v>328</v>
      </c>
      <c r="B77" s="236"/>
      <c r="C77" s="236"/>
      <c r="D77" s="236"/>
      <c r="E77" s="236"/>
      <c r="F77" s="236"/>
      <c r="G77" s="236"/>
      <c r="H77" s="236"/>
      <c r="I77" s="236"/>
      <c r="J77" s="236"/>
      <c r="K77" s="236"/>
    </row>
    <row r="78" spans="1:12" s="20" customFormat="1" ht="18" customHeight="1" x14ac:dyDescent="0.2">
      <c r="A78" s="236" t="s">
        <v>332</v>
      </c>
      <c r="B78" s="236"/>
      <c r="C78" s="236"/>
      <c r="D78" s="236"/>
      <c r="E78" s="236"/>
      <c r="F78" s="236"/>
      <c r="G78" s="236"/>
      <c r="H78" s="236"/>
      <c r="I78" s="236"/>
      <c r="J78" s="236"/>
      <c r="K78" s="236"/>
    </row>
    <row r="79" spans="1:12" s="20" customFormat="1" ht="18" customHeight="1" x14ac:dyDescent="0.2">
      <c r="A79" s="237" t="s">
        <v>331</v>
      </c>
      <c r="B79" s="237"/>
      <c r="C79" s="237"/>
      <c r="D79" s="237"/>
      <c r="E79" s="237"/>
      <c r="F79" s="237"/>
      <c r="G79" s="237"/>
      <c r="H79" s="237"/>
      <c r="I79" s="237"/>
      <c r="J79" s="237"/>
      <c r="K79" s="237"/>
    </row>
  </sheetData>
  <protectedRanges>
    <protectedRange sqref="D12:H13 C3:H10" name="Est Production and Price"/>
  </protectedRanges>
  <phoneticPr fontId="17" type="noConversion"/>
  <printOptions gridLines="1"/>
  <pageMargins left="0.25" right="0.25" top="0.25" bottom="0.25" header="0.3" footer="0.3"/>
  <pageSetup scale="64" orientation="portrait" r:id="rId1"/>
  <ignoredErrors>
    <ignoredError sqref="C7:C11 D7:D10 E7:E10 F3:G11 H3:H10" unlockedFormula="1"/>
  </ignoredErrors>
  <tableParts count="1">
    <tablePart r:id="rId2"/>
  </tableParts>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0"/>
  <sheetViews>
    <sheetView zoomScaleNormal="100" workbookViewId="0">
      <selection activeCell="M26" sqref="M26"/>
    </sheetView>
  </sheetViews>
  <sheetFormatPr baseColWidth="10" defaultColWidth="9.1640625" defaultRowHeight="14" x14ac:dyDescent="0.15"/>
  <cols>
    <col min="1" max="1" width="36.33203125" style="109" customWidth="1"/>
    <col min="2" max="2" width="13.5" style="131" customWidth="1"/>
    <col min="3" max="3" width="18.1640625" style="131" customWidth="1"/>
    <col min="4" max="4" width="21.6640625" style="109" customWidth="1"/>
    <col min="5" max="5" width="8.83203125" style="131" customWidth="1"/>
    <col min="6" max="12" width="9.1640625" style="109"/>
    <col min="13" max="13" width="42.1640625" style="109" customWidth="1"/>
    <col min="14" max="14" width="14.6640625" style="109" customWidth="1"/>
    <col min="15" max="16384" width="9.1640625" style="109"/>
  </cols>
  <sheetData>
    <row r="1" spans="1:15" ht="40" customHeight="1" x14ac:dyDescent="0.2">
      <c r="A1" s="233" t="s">
        <v>468</v>
      </c>
      <c r="B1" s="233"/>
      <c r="C1" s="233"/>
      <c r="D1" s="233"/>
      <c r="E1" s="233"/>
      <c r="F1" s="233"/>
      <c r="G1" s="233"/>
      <c r="H1" s="233"/>
      <c r="I1" s="233"/>
      <c r="M1" s="233" t="s">
        <v>469</v>
      </c>
      <c r="N1" s="233"/>
      <c r="O1" s="233"/>
    </row>
    <row r="2" spans="1:15" s="17" customFormat="1" ht="31.25" customHeight="1" x14ac:dyDescent="0.2">
      <c r="A2" s="35" t="s">
        <v>239</v>
      </c>
      <c r="B2" s="90" t="s">
        <v>395</v>
      </c>
      <c r="C2" s="91" t="s">
        <v>379</v>
      </c>
      <c r="D2" s="91" t="s">
        <v>377</v>
      </c>
      <c r="E2" s="92" t="s">
        <v>149</v>
      </c>
      <c r="M2" s="93" t="s">
        <v>219</v>
      </c>
      <c r="N2" s="92" t="s">
        <v>256</v>
      </c>
    </row>
    <row r="3" spans="1:15" ht="18" customHeight="1" x14ac:dyDescent="0.15">
      <c r="A3" s="103" t="s">
        <v>27</v>
      </c>
      <c r="B3" s="9" t="s">
        <v>392</v>
      </c>
      <c r="C3" s="137">
        <f>(($N$3*$N$4*$N$8)/(($N$3*$N$4*$N$8)+($N$3*$N$5*$N$9)+($N$3*$N$6*$N$10)+($N$3*$N$7*$N$11)))*(((SUM('Early-Season Mahogany Budget'!$H$12:$H$23,'Early-Season Mahogany Budget'!$H$28:$H$29)+($N$12*$N$3)+($N$13*$N$3)+($N$14*$N$3)+($N$15*$N$3))*(1+$N$16))*(1+($N$17*'App A9. Data for tables'!$H$76)))</f>
        <v>7056.0429852633833</v>
      </c>
      <c r="D3" s="138">
        <f>C3/($N$3*$N4)</f>
        <v>3.0154029851552919</v>
      </c>
      <c r="E3" s="139" t="s">
        <v>211</v>
      </c>
      <c r="G3" s="140"/>
      <c r="H3" s="140"/>
      <c r="I3" s="140"/>
      <c r="M3" s="109" t="s">
        <v>453</v>
      </c>
      <c r="N3" s="202">
        <v>18000</v>
      </c>
    </row>
    <row r="4" spans="1:15" ht="18" customHeight="1" x14ac:dyDescent="0.15">
      <c r="A4" s="103" t="s">
        <v>27</v>
      </c>
      <c r="B4" s="9" t="s">
        <v>393</v>
      </c>
      <c r="C4" s="137">
        <f>(($N$3*$N$5*$N$9)/(($N$3*$N$4*$N$8)+($N$3*$N$5*$N$9)+($N$3*$N$6*$N$10)+($N$3*$N$7*$N$11)))*(((SUM('Early-Season Mahogany Budget'!$H$12:$H$23,'Early-Season Mahogany Budget'!$H$28:$H$29)+($N$12*$N$3)+($N$13*$N$3)+($N$14*$N$3)+($N$15*$N$3))*(1+$N$16))*(1+($N$17*'App A9. Data for tables'!$H$76)))</f>
        <v>15427.531514815211</v>
      </c>
      <c r="D4" s="105">
        <f>C4/($N$3*$N5)</f>
        <v>2.4488145261611445</v>
      </c>
      <c r="E4" s="139" t="s">
        <v>211</v>
      </c>
      <c r="M4" s="109" t="s">
        <v>454</v>
      </c>
      <c r="N4" s="203">
        <v>0.13</v>
      </c>
    </row>
    <row r="5" spans="1:15" ht="18" customHeight="1" x14ac:dyDescent="0.15">
      <c r="A5" s="103" t="s">
        <v>27</v>
      </c>
      <c r="B5" s="9" t="s">
        <v>394</v>
      </c>
      <c r="C5" s="137">
        <f>(($N$3*$N$6*$N$10)/(($N$3*$N$4*$N$8)+($N$3*$N$5*$N$9)+($N$3*$N$6*$N$10)+($N$3*$N$7*$N$11)))*(((SUM('Early-Season Mahogany Budget'!$H$12:$H$23,'Early-Season Mahogany Budget'!$H$28:$H$29)+($N$12*$N$3)+($N$13*$N$3)+($N$14*$N$3)+($N$15*$N$3))*(1+$N$16))*(1+($N$17*'App A9. Data for tables'!$H$76)))</f>
        <v>7882.3018159728153</v>
      </c>
      <c r="D5" s="105">
        <f>C5/($N$3*$N6)</f>
        <v>1.4596855214764473</v>
      </c>
      <c r="E5" s="139" t="s">
        <v>211</v>
      </c>
      <c r="M5" s="109" t="s">
        <v>455</v>
      </c>
      <c r="N5" s="203">
        <v>0.35</v>
      </c>
    </row>
    <row r="6" spans="1:15" ht="18" customHeight="1" x14ac:dyDescent="0.15">
      <c r="A6" s="118" t="s">
        <v>27</v>
      </c>
      <c r="B6" s="52" t="s">
        <v>373</v>
      </c>
      <c r="C6" s="141">
        <f>(($N$3*$N$7*$N$11)/(($N$3*$N$4*$N$8)+($N$3*$N$5*$N$9)+($N$3*$N$6*$N$10)+($N$3*$N$7*$N$11)))*(((SUM('Early-Season Mahogany Budget'!$H$12:$H$23,'Early-Season Mahogany Budget'!$H$28:$H$29)+($N$12*$N$3)+($N$13*$N$3)+($N$14*$N$3)+($N$15*$N$3))*(1+$N$16))*(1+($N$17*'App A9. Data for tables'!$H$76)))</f>
        <v>152.11459644859818</v>
      </c>
      <c r="D6" s="142">
        <f>C6/($N$3*$N7)</f>
        <v>3.8412776880959135E-2</v>
      </c>
      <c r="E6" s="143" t="s">
        <v>211</v>
      </c>
      <c r="M6" s="109" t="s">
        <v>456</v>
      </c>
      <c r="N6" s="203">
        <v>0.3</v>
      </c>
    </row>
    <row r="7" spans="1:15" ht="18" customHeight="1" x14ac:dyDescent="0.15">
      <c r="A7" s="103" t="s">
        <v>374</v>
      </c>
      <c r="B7" s="9" t="s">
        <v>392</v>
      </c>
      <c r="C7" s="137">
        <f>(($N$3*$N$4*$N$8)/(($N$3*$N$4*$N$8)+($N$3*$N$5*$N$9)+($N$3*$N$6*$N$10)+($N$3*$N$7*$N$11)))*((((SUM('Early-Season Mahogany Budget'!$H$12:$H$23,'Early-Season Mahogany Budget'!$H$28:$H$29)+($N$12*$N$3)+($N$13*$N$3)+($N$14*$N$3)+($N$15*$N$3))*(1+$N$16))*(1+($N$17*'App A9. Data for tables'!$H$76)))+'Early-Season Mahogany Budget'!$H$37)</f>
        <v>7225.9818127909966</v>
      </c>
      <c r="D7" s="138">
        <f>C7/($N$3*$N4)</f>
        <v>3.088026415722648</v>
      </c>
      <c r="E7" s="139" t="s">
        <v>50</v>
      </c>
      <c r="F7" s="144"/>
      <c r="G7" s="144"/>
      <c r="H7" s="144"/>
      <c r="I7" s="144"/>
      <c r="J7" s="144"/>
      <c r="K7" s="144"/>
      <c r="L7" s="144"/>
      <c r="M7" s="109" t="s">
        <v>457</v>
      </c>
      <c r="N7" s="203">
        <v>0.22</v>
      </c>
    </row>
    <row r="8" spans="1:15" ht="18" customHeight="1" x14ac:dyDescent="0.15">
      <c r="A8" s="103" t="s">
        <v>374</v>
      </c>
      <c r="B8" s="9" t="s">
        <v>393</v>
      </c>
      <c r="C8" s="137">
        <f>(($N$3*$N$5*$N$9)/(($N$3*$N$4*$N$8)+($N$3*$N$5*$N$9)+($N$3*$N$6*$N$10)+($N$3*$N$7*$N$11)))*((((SUM('Early-Season Mahogany Budget'!$H$12:$H$23,'Early-Season Mahogany Budget'!$H$28:$H$29)+($N$12*$N$3)+($N$13*$N$3)+($N$14*$N$3)+($N$15*$N$3))*(1+$N$16))*(1+($N$17*'App A9. Data for tables'!$H$76)))+'Early-Season Mahogany Budget'!$H$37)</f>
        <v>15799.090563243419</v>
      </c>
      <c r="D8" s="105">
        <f>C8/($N$3*$N5)</f>
        <v>2.5077921528957807</v>
      </c>
      <c r="E8" s="139" t="s">
        <v>50</v>
      </c>
      <c r="F8" s="144"/>
      <c r="G8" s="144"/>
      <c r="H8" s="144"/>
      <c r="I8" s="144"/>
      <c r="J8" s="144"/>
      <c r="K8" s="144"/>
      <c r="L8" s="144"/>
      <c r="M8" s="109" t="s">
        <v>380</v>
      </c>
      <c r="N8" s="204">
        <v>3.14</v>
      </c>
    </row>
    <row r="9" spans="1:15" ht="18" customHeight="1" x14ac:dyDescent="0.15">
      <c r="A9" s="103" t="s">
        <v>374</v>
      </c>
      <c r="B9" s="9" t="s">
        <v>394</v>
      </c>
      <c r="C9" s="137">
        <f>(($N$3*$N$6*$N$10)/(($N$3*$N$4*$N$8)+($N$3*$N$5*$N$9)+($N$3*$N$6*$N$10)+($N$3*$N$7*$N$11)))*((((SUM('Early-Season Mahogany Budget'!$H$12:$H$23,'Early-Season Mahogany Budget'!$H$28:$H$29)+($N$12*$N$3)+($N$13*$N$3)+($N$14*$N$3)+($N$15*$N$3))*(1+$N$16))*(1+($N$17*'App A9. Data for tables'!$H$76)))+'Early-Season Mahogany Budget'!$H$37)</f>
        <v>8072.1403886151256</v>
      </c>
      <c r="D9" s="105">
        <f>C9/($N$3*$N6)</f>
        <v>1.4948408127065047</v>
      </c>
      <c r="E9" s="139" t="s">
        <v>50</v>
      </c>
      <c r="F9" s="144"/>
      <c r="G9" s="144"/>
      <c r="H9" s="144"/>
      <c r="I9" s="144"/>
      <c r="J9" s="144"/>
      <c r="K9" s="144"/>
      <c r="L9" s="144"/>
      <c r="M9" s="109" t="s">
        <v>381</v>
      </c>
      <c r="N9" s="204">
        <v>2.5499999999999998</v>
      </c>
    </row>
    <row r="10" spans="1:15" ht="18" customHeight="1" x14ac:dyDescent="0.15">
      <c r="A10" s="118" t="s">
        <v>374</v>
      </c>
      <c r="B10" s="52" t="s">
        <v>373</v>
      </c>
      <c r="C10" s="141">
        <f>(($N$3*$N$7*$N$11)/(($N$3*$N$4*$N$8)+($N$3*$N$5*$N$9)+($N$3*$N$6*$N$10)+($N$3*$N$7*$N$11)))*((((SUM('Early-Season Mahogany Budget'!$H$12:$H$23,'Early-Season Mahogany Budget'!$H$28:$H$29)+($N$12*$N$3)+($N$13*$N$3)+($N$14*$N$3)+($N$15*$N$3))*(1+$N$16))*(1+($N$17*'App A9. Data for tables'!$H$76)))+'Early-Season Mahogany Budget'!$H$37)</f>
        <v>155.77814785046735</v>
      </c>
      <c r="D10" s="142">
        <f>C10/($N$3*$N7)</f>
        <v>3.9337916123855392E-2</v>
      </c>
      <c r="E10" s="143" t="s">
        <v>50</v>
      </c>
      <c r="F10" s="144"/>
      <c r="G10" s="144"/>
      <c r="H10" s="144"/>
      <c r="I10" s="144"/>
      <c r="J10" s="144"/>
      <c r="K10" s="144"/>
      <c r="L10" s="144"/>
      <c r="M10" s="109" t="s">
        <v>382</v>
      </c>
      <c r="N10" s="204">
        <v>1.52</v>
      </c>
    </row>
    <row r="11" spans="1:15" ht="18" customHeight="1" x14ac:dyDescent="0.15">
      <c r="A11" s="86" t="s">
        <v>375</v>
      </c>
      <c r="B11" s="9" t="s">
        <v>392</v>
      </c>
      <c r="C11" s="137">
        <f>(($N$3*$N$4*$N$8)/(($N$3*$N$4*$N$8)+($N$3*$N$5*$N$9)+($N$3*$N$6*$N$10)+($N$3*$N$7*$N$11)))*((((SUM('Early-Season Mahogany Budget'!$H$12:$H$23,'Early-Season Mahogany Budget'!$H$28:$H$29)+($N$12*$N$3)+($N$13*$N$3)+($N$14*$N$3)+($N$15*$N$3))*(1+$N$16))*(1+($N$17*'App A9. Data for tables'!$H$76)))+'Early-Season Mahogany Budget'!$H$37+SUM('Early-Season Mahogany Budget'!$H$40:$H$47))</f>
        <v>7405.8491175119534</v>
      </c>
      <c r="D11" s="138">
        <f>C11/($N$3*$N4)</f>
        <v>3.1648927852615185</v>
      </c>
      <c r="E11" s="139" t="s">
        <v>51</v>
      </c>
      <c r="F11" s="144"/>
      <c r="G11" s="144"/>
      <c r="H11" s="144"/>
      <c r="I11" s="144"/>
      <c r="J11" s="144"/>
      <c r="K11" s="144"/>
      <c r="L11" s="144"/>
      <c r="M11" s="109" t="s">
        <v>383</v>
      </c>
      <c r="N11" s="204">
        <v>0.04</v>
      </c>
    </row>
    <row r="12" spans="1:15" ht="18" customHeight="1" x14ac:dyDescent="0.15">
      <c r="A12" s="86" t="s">
        <v>375</v>
      </c>
      <c r="B12" s="9" t="s">
        <v>393</v>
      </c>
      <c r="C12" s="137">
        <f>(($N$3*$N$5*$N$9)/(($N$3*$N$4*$N$8)+($N$3*$N$5*$N$9)+($N$3*$N$6*$N$10)+($N$3*$N$7*$N$11)))*((((SUM('Early-Season Mahogany Budget'!$H$12:$H$23,'Early-Season Mahogany Budget'!$H$28:$H$29)+($N$12*$N$3)+($N$13*$N$3)+($N$14*$N$3)+($N$15*$N$3))*(1+$N$16))*(1+($N$17*'App A9. Data for tables'!$H$76)))+'Early-Season Mahogany Budget'!$H$37+SUM('Early-Season Mahogany Budget'!$H$40:$H$47))</f>
        <v>16192.357514403277</v>
      </c>
      <c r="D12" s="105">
        <f>C12/($N$3*$N5)</f>
        <v>2.5702154784767104</v>
      </c>
      <c r="E12" s="139" t="s">
        <v>51</v>
      </c>
      <c r="F12" s="144"/>
      <c r="G12" s="144"/>
      <c r="H12" s="144"/>
      <c r="I12" s="144"/>
      <c r="J12" s="144"/>
      <c r="K12" s="144"/>
      <c r="L12" s="144"/>
      <c r="M12" s="109" t="s">
        <v>384</v>
      </c>
      <c r="N12" s="204">
        <v>0.24</v>
      </c>
    </row>
    <row r="13" spans="1:15" ht="18" customHeight="1" x14ac:dyDescent="0.15">
      <c r="A13" s="86" t="s">
        <v>375</v>
      </c>
      <c r="B13" s="9" t="s">
        <v>394</v>
      </c>
      <c r="C13" s="137">
        <f>(($N$3*$N$6*$N$10)/(($N$3*$N$4*$N$8)+($N$3*$N$5*$N$9)+($N$3*$N$6*$N$10)+($N$3*$N$7*$N$11)))*((((SUM('Early-Season Mahogany Budget'!$H$12:$H$23,'Early-Season Mahogany Budget'!$H$28:$H$29)+($N$12*$N$3)+($N$13*$N$3)+($N$14*$N$3)+($N$15*$N$3))*(1+$N$16))*(1+($N$17*'App A9. Data for tables'!$H$76)))+'Early-Season Mahogany Budget'!$H$37+SUM('Early-Season Mahogany Budget'!$H$40:$H$47))</f>
        <v>8273.070057779154</v>
      </c>
      <c r="D13" s="105">
        <f>C13/($N$3*$N6)</f>
        <v>1.5320500106998434</v>
      </c>
      <c r="E13" s="139" t="s">
        <v>51</v>
      </c>
      <c r="F13" s="144"/>
      <c r="G13" s="144"/>
      <c r="H13" s="144"/>
      <c r="I13" s="144"/>
      <c r="J13" s="144"/>
      <c r="K13" s="144"/>
      <c r="L13" s="145"/>
      <c r="M13" s="109" t="s">
        <v>389</v>
      </c>
      <c r="N13" s="204">
        <v>0.15</v>
      </c>
    </row>
    <row r="14" spans="1:15" ht="18" customHeight="1" x14ac:dyDescent="0.15">
      <c r="A14" s="146" t="s">
        <v>375</v>
      </c>
      <c r="B14" s="52" t="s">
        <v>373</v>
      </c>
      <c r="C14" s="141">
        <f>(($N$3*$N$7*$N$11)/(($N$3*$N$4*$N$8)+($N$3*$N$5*$N$9)+($N$3*$N$6*$N$10)+($N$3*$N$7*$N$11)))*((((SUM('Early-Season Mahogany Budget'!$H$12:$H$23,'Early-Season Mahogany Budget'!$H$28:$H$29)+($N$12*$N$3)+($N$13*$N$3)+($N$14*$N$3)+($N$15*$N$3))*(1+$N$16))*(1+($N$17*'App A9. Data for tables'!$H$76)))+'Early-Season Mahogany Budget'!$H$37+SUM('Early-Season Mahogany Budget'!$H$40:$H$47))</f>
        <v>159.65573795714155</v>
      </c>
      <c r="D14" s="142">
        <f>C14/($N$3*$N7)</f>
        <v>4.0317105544732716E-2</v>
      </c>
      <c r="E14" s="143" t="s">
        <v>51</v>
      </c>
      <c r="F14" s="144"/>
      <c r="G14" s="144"/>
      <c r="H14" s="144"/>
      <c r="I14" s="144"/>
      <c r="J14" s="144"/>
      <c r="K14" s="144"/>
      <c r="L14" s="144"/>
      <c r="M14" s="109" t="s">
        <v>385</v>
      </c>
      <c r="N14" s="204">
        <v>0.05</v>
      </c>
    </row>
    <row r="15" spans="1:15" ht="18" customHeight="1" x14ac:dyDescent="0.15">
      <c r="A15" s="103" t="s">
        <v>376</v>
      </c>
      <c r="B15" s="9" t="s">
        <v>392</v>
      </c>
      <c r="C15" s="137">
        <f>(($N$3*$N$4*$N$8)/(($N$3*$N$4*$N$8)+($N$3*$N$5*$N$9)+($N$3*$N$6*$N$10)+($N$3*$N$7*$N$11)))*((((SUM('Early-Season Mahogany Budget'!$H$12:$H$23,'Early-Season Mahogany Budget'!$H$28:$H$29)+($N$12*$N$3)+($N$13*$N$3)+($N$14*$N$3)+($N$15*$N$3))*(1+$N$16))*(1+($N$17*'App A9. Data for tables'!$H$76)))+'Early-Season Mahogany Budget'!$H$37+SUM('Early-Season Mahogany Budget'!$H$40:$H$59))</f>
        <v>8788.0831438878031</v>
      </c>
      <c r="D15" s="138">
        <f>C15/($N$3*$N4)</f>
        <v>3.7555910871315397</v>
      </c>
      <c r="E15" s="139" t="s">
        <v>53</v>
      </c>
      <c r="F15" s="144"/>
      <c r="G15" s="144"/>
      <c r="H15" s="144"/>
      <c r="I15" s="144"/>
      <c r="J15" s="144"/>
      <c r="K15" s="144"/>
      <c r="L15" s="144"/>
      <c r="M15" s="109" t="s">
        <v>388</v>
      </c>
      <c r="N15" s="204">
        <v>0.85</v>
      </c>
    </row>
    <row r="16" spans="1:15" ht="18" customHeight="1" x14ac:dyDescent="0.15">
      <c r="A16" s="103" t="s">
        <v>376</v>
      </c>
      <c r="B16" s="9" t="s">
        <v>393</v>
      </c>
      <c r="C16" s="137">
        <f>(($N$3*$N$5*$N$9)/(($N$3*$N$4*$N$8)+($N$3*$N$5*$N$9)+($N$3*$N$6*$N$10)+($N$3*$N$7*$N$11)))*((((SUM('Early-Season Mahogany Budget'!$H$12:$H$23,'Early-Season Mahogany Budget'!$H$28:$H$29)+($N$12*$N$3)+($N$13*$N$3)+($N$14*$N$3)+($N$15*$N$3))*(1+$N$16))*(1+($N$17*'App A9. Data for tables'!$H$76)))+'Early-Season Mahogany Budget'!$H$37+SUM('Early-Season Mahogany Budget'!$H$40:$H$59))</f>
        <v>19214.512998333816</v>
      </c>
      <c r="D16" s="105">
        <f>C16/($N$3*$N5)</f>
        <v>3.0499226981482246</v>
      </c>
      <c r="E16" s="139" t="s">
        <v>53</v>
      </c>
      <c r="F16" s="144"/>
      <c r="G16" s="144"/>
      <c r="H16" s="144"/>
      <c r="I16" s="144"/>
      <c r="J16" s="144"/>
      <c r="K16" s="144"/>
      <c r="L16" s="147"/>
      <c r="M16" s="109" t="s">
        <v>387</v>
      </c>
      <c r="N16" s="203">
        <v>0.05</v>
      </c>
    </row>
    <row r="17" spans="1:15" ht="18" customHeight="1" x14ac:dyDescent="0.15">
      <c r="A17" s="103" t="s">
        <v>376</v>
      </c>
      <c r="B17" s="9" t="s">
        <v>394</v>
      </c>
      <c r="C17" s="137">
        <f>(($N$3*$N$6*$N$10)/(($N$3*$N$4*$N$8)+($N$3*$N$5*$N$9)+($N$3*$N$6*$N$10)+($N$3*$N$7*$N$11)))*((((SUM('Early-Season Mahogany Budget'!$H$12:$H$23,'Early-Season Mahogany Budget'!$H$28:$H$29)+($N$12*$N$3)+($N$13*$N$3)+($N$14*$N$3)+($N$15*$N$3))*(1+$N$16))*(1+($N$17*'App A9. Data for tables'!$H$76)))+'Early-Season Mahogany Budget'!$H$37+SUM('Early-Season Mahogany Budget'!$H$40:$H$59))</f>
        <v>9817.1629436865223</v>
      </c>
      <c r="D17" s="105">
        <f>C17/($N$3*$N6)</f>
        <v>1.8179931377197263</v>
      </c>
      <c r="E17" s="139" t="s">
        <v>53</v>
      </c>
      <c r="F17" s="144"/>
      <c r="G17" s="144"/>
      <c r="H17" s="144"/>
      <c r="I17" s="144"/>
      <c r="J17" s="144"/>
      <c r="K17" s="144"/>
      <c r="L17" s="144"/>
      <c r="M17" s="109" t="s">
        <v>386</v>
      </c>
      <c r="N17" s="205">
        <v>0.05</v>
      </c>
    </row>
    <row r="18" spans="1:15" ht="17" customHeight="1" x14ac:dyDescent="0.15">
      <c r="A18" s="103" t="s">
        <v>376</v>
      </c>
      <c r="B18" s="9" t="s">
        <v>373</v>
      </c>
      <c r="C18" s="137">
        <f>(($N$3*$N$7*$N$11)/(($N$3*$N$4*$N$8)+($N$3*$N$5*$N$9)+($N$3*$N$6*$N$10)+($N$3*$N$7*$N$11)))*((((SUM('Early-Season Mahogany Budget'!$H$12:$H$23,'Early-Season Mahogany Budget'!$H$28:$H$29)+($N$12*$N$3)+($N$13*$N$3)+($N$14*$N$3)+($N$15*$N$3))*(1+$N$16))*(1+($N$17*'App A9. Data for tables'!$H$76)))+'Early-Season Mahogany Budget'!$H$37+SUM('Early-Season Mahogany Budget'!$H$40:$H$59))</f>
        <v>189.45402172026621</v>
      </c>
      <c r="D18" s="142">
        <f>C18/($N$3*$N7)</f>
        <v>4.7841924676834902E-2</v>
      </c>
      <c r="E18" s="139" t="s">
        <v>53</v>
      </c>
      <c r="F18" s="144"/>
      <c r="G18" s="144"/>
      <c r="H18" s="144"/>
      <c r="I18" s="144"/>
      <c r="J18" s="144"/>
      <c r="K18" s="144"/>
      <c r="L18" s="144"/>
      <c r="M18" s="24" t="s">
        <v>391</v>
      </c>
      <c r="N18" s="24"/>
      <c r="O18" s="24"/>
    </row>
    <row r="19" spans="1:15" s="111" customFormat="1" ht="18" customHeight="1" x14ac:dyDescent="0.15">
      <c r="A19" s="106" t="s">
        <v>400</v>
      </c>
      <c r="B19" s="106"/>
      <c r="C19" s="106"/>
      <c r="D19" s="106"/>
      <c r="E19" s="106"/>
      <c r="M19" s="235" t="s">
        <v>390</v>
      </c>
      <c r="N19" s="235"/>
      <c r="O19" s="235"/>
    </row>
    <row r="20" spans="1:15" s="111" customFormat="1" ht="18" customHeight="1" x14ac:dyDescent="0.15">
      <c r="A20" s="106" t="s">
        <v>401</v>
      </c>
      <c r="B20" s="106"/>
      <c r="C20" s="106"/>
      <c r="D20" s="106"/>
      <c r="E20" s="106"/>
    </row>
    <row r="21" spans="1:15" s="111" customFormat="1" ht="18" customHeight="1" x14ac:dyDescent="0.15">
      <c r="A21" s="106" t="s">
        <v>402</v>
      </c>
      <c r="B21" s="106"/>
      <c r="C21" s="106"/>
      <c r="D21" s="106"/>
      <c r="E21" s="106"/>
    </row>
    <row r="22" spans="1:15" s="111" customFormat="1" ht="18" customHeight="1" x14ac:dyDescent="0.15">
      <c r="A22" s="106" t="s">
        <v>420</v>
      </c>
      <c r="B22" s="106"/>
      <c r="C22" s="106"/>
      <c r="D22" s="106"/>
      <c r="E22" s="106"/>
    </row>
    <row r="23" spans="1:15" s="111" customFormat="1" ht="16.25" customHeight="1" x14ac:dyDescent="0.15">
      <c r="A23" s="234" t="s">
        <v>458</v>
      </c>
      <c r="B23" s="234"/>
      <c r="C23" s="234"/>
      <c r="D23" s="234"/>
      <c r="E23" s="234"/>
    </row>
    <row r="24" spans="1:15" s="111" customFormat="1" ht="18" customHeight="1" x14ac:dyDescent="0.15">
      <c r="A24" s="134" t="s">
        <v>459</v>
      </c>
      <c r="B24" s="134"/>
      <c r="C24" s="134"/>
      <c r="D24" s="134"/>
      <c r="E24" s="134"/>
      <c r="F24" s="148"/>
      <c r="G24" s="148"/>
      <c r="H24" s="148"/>
      <c r="I24" s="148"/>
      <c r="J24" s="148"/>
      <c r="K24" s="148"/>
    </row>
    <row r="25" spans="1:15" s="111" customFormat="1" ht="18" customHeight="1" x14ac:dyDescent="0.15">
      <c r="A25" s="134" t="s">
        <v>378</v>
      </c>
      <c r="B25" s="134"/>
      <c r="C25" s="134"/>
      <c r="D25" s="134"/>
      <c r="E25" s="134"/>
    </row>
    <row r="26" spans="1:15" s="111" customFormat="1" ht="18" customHeight="1" x14ac:dyDescent="0.15">
      <c r="A26" s="111" t="s">
        <v>212</v>
      </c>
    </row>
    <row r="27" spans="1:15" s="111" customFormat="1" ht="18" customHeight="1" x14ac:dyDescent="0.15">
      <c r="A27" s="111" t="s">
        <v>213</v>
      </c>
      <c r="F27" s="149"/>
      <c r="G27" s="149"/>
      <c r="H27" s="149"/>
      <c r="I27" s="149"/>
      <c r="J27" s="149"/>
      <c r="K27" s="149"/>
      <c r="L27" s="149"/>
    </row>
    <row r="28" spans="1:15" s="111" customFormat="1" ht="18" customHeight="1" x14ac:dyDescent="0.15">
      <c r="A28" s="111" t="s">
        <v>214</v>
      </c>
      <c r="F28" s="149"/>
      <c r="G28" s="149"/>
      <c r="H28" s="149"/>
      <c r="I28" s="149"/>
      <c r="J28" s="149"/>
      <c r="K28" s="149"/>
      <c r="L28" s="149"/>
    </row>
    <row r="29" spans="1:15" s="111" customFormat="1" ht="18" customHeight="1" x14ac:dyDescent="0.15">
      <c r="A29" s="111" t="s">
        <v>443</v>
      </c>
    </row>
    <row r="30" spans="1:15" s="111" customFormat="1" ht="15.5" customHeight="1" x14ac:dyDescent="0.15">
      <c r="A30" s="111" t="s">
        <v>215</v>
      </c>
      <c r="B30" s="238"/>
      <c r="C30" s="238"/>
      <c r="D30" s="238"/>
      <c r="E30" s="238"/>
      <c r="F30" s="149"/>
      <c r="G30" s="149"/>
      <c r="H30" s="149"/>
      <c r="I30" s="149"/>
      <c r="J30" s="149"/>
      <c r="K30" s="149"/>
      <c r="L30" s="149"/>
    </row>
  </sheetData>
  <pageMargins left="0.7" right="0.7" top="0.75" bottom="0.75" header="0.3" footer="0.3"/>
  <pageSetup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6"/>
  <sheetViews>
    <sheetView tabSelected="1" topLeftCell="A6" zoomScale="189" zoomScaleNormal="189" workbookViewId="0">
      <selection activeCell="F7" sqref="F7"/>
    </sheetView>
  </sheetViews>
  <sheetFormatPr baseColWidth="10" defaultColWidth="9.1640625" defaultRowHeight="15" x14ac:dyDescent="0.2"/>
  <cols>
    <col min="1" max="1" width="26.5" style="14" customWidth="1"/>
    <col min="2" max="2" width="13.6640625" style="14" customWidth="1"/>
    <col min="3" max="6" width="12.6640625" style="14" customWidth="1"/>
    <col min="7" max="7" width="21.83203125" style="14" customWidth="1"/>
    <col min="8" max="8" width="3.6640625" style="14" customWidth="1"/>
    <col min="9" max="14" width="9.1640625" style="26"/>
    <col min="15" max="16384" width="9.1640625" style="14"/>
  </cols>
  <sheetData>
    <row r="1" spans="1:14" s="1" customFormat="1" ht="41" customHeight="1" x14ac:dyDescent="0.2">
      <c r="A1" s="241" t="s">
        <v>485</v>
      </c>
      <c r="B1" s="241"/>
      <c r="C1" s="241"/>
      <c r="D1" s="241"/>
      <c r="E1" s="241"/>
      <c r="F1" s="241"/>
      <c r="G1" s="241"/>
      <c r="I1" s="95"/>
      <c r="J1" s="95"/>
      <c r="K1" s="95"/>
      <c r="L1" s="95"/>
      <c r="M1" s="95"/>
      <c r="N1" s="95"/>
    </row>
    <row r="2" spans="1:14" ht="47" customHeight="1" x14ac:dyDescent="0.2">
      <c r="A2" s="35" t="s">
        <v>240</v>
      </c>
      <c r="B2" s="45" t="s">
        <v>15</v>
      </c>
      <c r="C2" s="45" t="s">
        <v>16</v>
      </c>
      <c r="D2" s="45" t="s">
        <v>17</v>
      </c>
      <c r="E2" s="45" t="s">
        <v>18</v>
      </c>
      <c r="F2" s="45" t="s">
        <v>19</v>
      </c>
      <c r="G2" s="36" t="s">
        <v>333</v>
      </c>
      <c r="H2" s="27"/>
      <c r="N2" s="14"/>
    </row>
    <row r="3" spans="1:14" s="1" customFormat="1" ht="18" customHeight="1" x14ac:dyDescent="0.2">
      <c r="A3" s="11" t="s">
        <v>424</v>
      </c>
      <c r="B3" s="100">
        <f>'App A5. Estab Costs'!$G$3</f>
        <v>216000</v>
      </c>
      <c r="C3" s="200">
        <v>0</v>
      </c>
      <c r="D3" s="200">
        <v>0</v>
      </c>
      <c r="E3" s="200">
        <v>0</v>
      </c>
      <c r="F3" s="200">
        <v>0</v>
      </c>
      <c r="G3" s="200">
        <v>0</v>
      </c>
      <c r="I3" s="95"/>
      <c r="J3" s="95"/>
      <c r="K3" s="95"/>
      <c r="L3" s="95"/>
      <c r="M3" s="95"/>
      <c r="N3" s="95"/>
    </row>
    <row r="4" spans="1:14" s="1" customFormat="1" ht="18" customHeight="1" x14ac:dyDescent="0.2">
      <c r="A4" s="11" t="s">
        <v>14</v>
      </c>
      <c r="B4" s="100">
        <f>'App A5. Estab Costs'!$G$10</f>
        <v>38500</v>
      </c>
      <c r="C4" s="200">
        <v>0</v>
      </c>
      <c r="D4" s="200">
        <v>0</v>
      </c>
      <c r="E4" s="200">
        <v>0</v>
      </c>
      <c r="F4" s="200">
        <v>0</v>
      </c>
      <c r="G4" s="200">
        <v>0</v>
      </c>
      <c r="I4" s="95"/>
      <c r="J4" s="95"/>
      <c r="K4" s="95"/>
      <c r="L4" s="95"/>
      <c r="M4" s="95"/>
      <c r="N4" s="95"/>
    </row>
    <row r="5" spans="1:14" s="1" customFormat="1" ht="18" customHeight="1" x14ac:dyDescent="0.2">
      <c r="A5" s="11" t="s">
        <v>368</v>
      </c>
      <c r="B5" s="200">
        <v>0</v>
      </c>
      <c r="C5" s="200">
        <v>0</v>
      </c>
      <c r="D5" s="200">
        <v>0</v>
      </c>
      <c r="E5" s="200">
        <v>0</v>
      </c>
      <c r="F5" s="200">
        <v>0</v>
      </c>
      <c r="G5" s="200">
        <v>0</v>
      </c>
      <c r="I5" s="95"/>
      <c r="J5" s="95"/>
      <c r="K5" s="95"/>
      <c r="L5" s="95"/>
      <c r="M5" s="95"/>
      <c r="N5" s="95"/>
    </row>
    <row r="6" spans="1:14" s="1" customFormat="1" ht="18" customHeight="1" x14ac:dyDescent="0.2">
      <c r="A6" s="101" t="s">
        <v>165</v>
      </c>
      <c r="B6" s="200">
        <v>0</v>
      </c>
      <c r="C6" s="200">
        <v>0</v>
      </c>
      <c r="D6" s="200">
        <v>0</v>
      </c>
      <c r="E6" s="200">
        <v>0</v>
      </c>
      <c r="F6" s="200">
        <v>0</v>
      </c>
      <c r="G6" s="200">
        <v>0</v>
      </c>
      <c r="I6" s="95"/>
      <c r="J6" s="95"/>
      <c r="K6" s="95"/>
      <c r="L6" s="95"/>
      <c r="M6" s="95"/>
      <c r="N6" s="95"/>
    </row>
    <row r="7" spans="1:14" s="1" customFormat="1" ht="18" customHeight="1" x14ac:dyDescent="0.2">
      <c r="A7" s="11" t="s">
        <v>34</v>
      </c>
      <c r="B7" s="100">
        <f>'App A5. Estab Costs'!$G$11+'App A5. Estab Costs'!$G$12</f>
        <v>42146.5</v>
      </c>
      <c r="C7" s="200">
        <v>0</v>
      </c>
      <c r="D7" s="200">
        <v>0</v>
      </c>
      <c r="E7" s="200">
        <v>0</v>
      </c>
      <c r="F7" s="200">
        <v>0</v>
      </c>
      <c r="G7" s="200">
        <v>0</v>
      </c>
      <c r="I7" s="95"/>
      <c r="J7" s="95"/>
      <c r="K7" s="95"/>
      <c r="L7" s="95"/>
      <c r="M7" s="95"/>
      <c r="N7" s="95"/>
    </row>
    <row r="8" spans="1:14" s="1" customFormat="1" ht="18" customHeight="1" x14ac:dyDescent="0.2">
      <c r="A8" s="11" t="s">
        <v>36</v>
      </c>
      <c r="B8" s="100">
        <f>'App A5. Estab Costs'!$G$13</f>
        <v>0</v>
      </c>
      <c r="C8" s="200">
        <v>0</v>
      </c>
      <c r="D8" s="200">
        <v>0</v>
      </c>
      <c r="E8" s="200">
        <v>0</v>
      </c>
      <c r="F8" s="200">
        <v>0</v>
      </c>
      <c r="G8" s="200">
        <v>0</v>
      </c>
      <c r="I8" s="95"/>
      <c r="J8" s="95"/>
      <c r="K8" s="95"/>
      <c r="L8" s="95"/>
      <c r="M8" s="95"/>
      <c r="N8" s="95"/>
    </row>
    <row r="9" spans="1:14" s="1" customFormat="1" ht="18" customHeight="1" x14ac:dyDescent="0.2">
      <c r="A9" s="11" t="s">
        <v>37</v>
      </c>
      <c r="B9" s="100">
        <f>'App A5. Estab Costs'!$G$14</f>
        <v>0</v>
      </c>
      <c r="C9" s="200">
        <v>0</v>
      </c>
      <c r="D9" s="200">
        <v>0</v>
      </c>
      <c r="E9" s="200">
        <v>0</v>
      </c>
      <c r="F9" s="200">
        <v>0</v>
      </c>
      <c r="G9" s="200">
        <v>0</v>
      </c>
      <c r="I9" s="95"/>
      <c r="J9" s="95"/>
      <c r="K9" s="95"/>
      <c r="L9" s="95"/>
      <c r="M9" s="95"/>
      <c r="N9" s="95"/>
    </row>
    <row r="10" spans="1:14" s="1" customFormat="1" ht="18" customHeight="1" x14ac:dyDescent="0.2">
      <c r="A10" s="11" t="s">
        <v>41</v>
      </c>
      <c r="B10" s="200">
        <v>0</v>
      </c>
      <c r="C10" s="200">
        <v>0</v>
      </c>
      <c r="D10" s="200">
        <v>0</v>
      </c>
      <c r="E10" s="100">
        <f>'App A5. Estab Costs'!$G$76</f>
        <v>43500</v>
      </c>
      <c r="F10" s="200">
        <v>0</v>
      </c>
      <c r="G10" s="200">
        <v>0</v>
      </c>
      <c r="I10" s="95"/>
      <c r="J10" s="95"/>
      <c r="K10" s="95"/>
      <c r="L10" s="95"/>
      <c r="M10" s="95"/>
      <c r="N10" s="95"/>
    </row>
    <row r="11" spans="1:14" s="1" customFormat="1" ht="18" customHeight="1" x14ac:dyDescent="0.2">
      <c r="A11" s="11" t="s">
        <v>484</v>
      </c>
      <c r="B11" s="100">
        <f>('Early-Season Mahogany Budget'!C32+'Early-Season Mahogany Budget'!C34+'Early-Season Mahogany Budget'!C35+'Early-Season Mahogany Budget'!C36+'Early-Season Mahogany Budget'!C58)*'App A9. Data for tables'!$C$78</f>
        <v>167472.7987625</v>
      </c>
      <c r="C11" s="100">
        <f>('Early-Season Mahogany Budget'!D32+'Early-Season Mahogany Budget'!D34+'Early-Season Mahogany Budget'!D35+'Early-Season Mahogany Budget'!D36+'Early-Season Mahogany Budget'!D58)*'App A9. Data for tables'!$D$78</f>
        <v>49757.038099999991</v>
      </c>
      <c r="D11" s="55">
        <f>('Early-Season Mahogany Budget'!E32+'Early-Season Mahogany Budget'!E34+'Early-Season Mahogany Budget'!E35+'Early-Season Mahogany Budget'!E36+'Early-Season Mahogany Budget'!E58)*'App A9. Data for tables'!$E$78</f>
        <v>61450.737425000007</v>
      </c>
      <c r="E11" s="100">
        <f>('Early-Season Mahogany Budget'!F32+'Early-Season Mahogany Budget'!F34+'Early-Season Mahogany Budget'!F35+'Early-Season Mahogany Budget'!F36+'Early-Season Mahogany Budget'!F58)*'App A9. Data for tables'!$F$78</f>
        <v>138061.61022499998</v>
      </c>
      <c r="F11" s="100">
        <f>('Early-Season Mahogany Budget'!G32+'Early-Season Mahogany Budget'!G34+'Early-Season Mahogany Budget'!G35+'Early-Season Mahogany Budget'!G36+'Early-Season Mahogany Budget'!G58)*'App A9. Data for tables'!$G$78</f>
        <v>298043.10305000003</v>
      </c>
      <c r="G11" s="100">
        <f>('Early-Season Mahogany Budget'!H32+'Early-Season Mahogany Budget'!H34+'Early-Season Mahogany Budget'!H35+'Early-Season Mahogany Budget'!H36+'Early-Season Mahogany Budget'!H58)*'App A9. Data for tables'!$H$78</f>
        <v>351482.90003750002</v>
      </c>
      <c r="I11" s="95"/>
      <c r="J11" s="95"/>
      <c r="K11" s="95"/>
      <c r="L11" s="95"/>
      <c r="M11" s="95"/>
      <c r="N11" s="95"/>
    </row>
    <row r="12" spans="1:14" s="1" customFormat="1" ht="18" customHeight="1" x14ac:dyDescent="0.2">
      <c r="A12" s="102" t="s">
        <v>54</v>
      </c>
      <c r="B12" s="135">
        <f t="shared" ref="B12:G12" si="0">SUM(B3:B11)</f>
        <v>464119.2987625</v>
      </c>
      <c r="C12" s="135">
        <f t="shared" si="0"/>
        <v>49757.038099999991</v>
      </c>
      <c r="D12" s="136">
        <f t="shared" si="0"/>
        <v>61450.737425000007</v>
      </c>
      <c r="E12" s="135">
        <f t="shared" si="0"/>
        <v>181561.61022499998</v>
      </c>
      <c r="F12" s="135">
        <f t="shared" si="0"/>
        <v>298043.10305000003</v>
      </c>
      <c r="G12" s="135">
        <f t="shared" si="0"/>
        <v>351482.90003750002</v>
      </c>
      <c r="I12" s="95"/>
      <c r="J12" s="95"/>
      <c r="K12" s="95"/>
      <c r="L12" s="95"/>
      <c r="M12" s="95"/>
      <c r="N12" s="95"/>
    </row>
    <row r="13" spans="1:14" s="1" customFormat="1" ht="36" customHeight="1" x14ac:dyDescent="0.2">
      <c r="A13" s="102" t="s">
        <v>55</v>
      </c>
      <c r="B13" s="135">
        <f>'Early-Season Mahogany Budget'!C11*'App A9. Data for tables'!$C$78</f>
        <v>0</v>
      </c>
      <c r="C13" s="135">
        <f>'Early-Season Mahogany Budget'!D11*'App A9. Data for tables'!$D$78</f>
        <v>0</v>
      </c>
      <c r="D13" s="136">
        <f>'Early-Season Mahogany Budget'!E11*'App A9. Data for tables'!$E$78</f>
        <v>0</v>
      </c>
      <c r="E13" s="135">
        <f>'Early-Season Mahogany Budget'!F11*'App A9. Data for tables'!$F$78</f>
        <v>77681.999999999985</v>
      </c>
      <c r="F13" s="135">
        <f>'Early-Season Mahogany Budget'!G11*'App A9. Data for tables'!$G$78</f>
        <v>271887</v>
      </c>
      <c r="G13" s="135">
        <f>'Early-Season Mahogany Budget'!H11*'App A9. Data for tables'!$H$78</f>
        <v>349569</v>
      </c>
      <c r="I13" s="95"/>
      <c r="J13" s="95"/>
      <c r="K13" s="95"/>
      <c r="L13" s="95"/>
      <c r="M13" s="95"/>
      <c r="N13" s="95"/>
    </row>
    <row r="14" spans="1:14" s="1" customFormat="1" ht="36" customHeight="1" x14ac:dyDescent="0.2">
      <c r="A14" s="242" t="s">
        <v>56</v>
      </c>
      <c r="B14" s="135">
        <f t="shared" ref="B14:G14" si="1">B12-B13</f>
        <v>464119.2987625</v>
      </c>
      <c r="C14" s="135">
        <f t="shared" si="1"/>
        <v>49757.038099999991</v>
      </c>
      <c r="D14" s="136">
        <f t="shared" si="1"/>
        <v>61450.737425000007</v>
      </c>
      <c r="E14" s="135">
        <f t="shared" si="1"/>
        <v>103879.610225</v>
      </c>
      <c r="F14" s="135">
        <f t="shared" si="1"/>
        <v>26156.103050000034</v>
      </c>
      <c r="G14" s="135">
        <f t="shared" si="1"/>
        <v>1913.9000375000178</v>
      </c>
      <c r="I14" s="95"/>
      <c r="J14" s="95"/>
      <c r="K14" s="95"/>
      <c r="L14" s="95"/>
      <c r="M14" s="95"/>
      <c r="N14" s="95"/>
    </row>
    <row r="15" spans="1:14" s="1" customFormat="1" ht="18" customHeight="1" x14ac:dyDescent="0.2">
      <c r="A15" s="239" t="s">
        <v>49</v>
      </c>
      <c r="B15" s="239"/>
      <c r="C15" s="239"/>
      <c r="D15" s="239"/>
      <c r="E15" s="239"/>
      <c r="F15" s="239"/>
      <c r="G15" s="239"/>
      <c r="I15" s="95"/>
      <c r="J15" s="95"/>
      <c r="K15" s="95"/>
      <c r="L15" s="95"/>
      <c r="M15" s="95"/>
      <c r="N15" s="95"/>
    </row>
    <row r="16" spans="1:14" s="1" customFormat="1" ht="18" customHeight="1" x14ac:dyDescent="0.2">
      <c r="A16" s="236" t="s">
        <v>482</v>
      </c>
      <c r="B16" s="236"/>
      <c r="C16" s="236"/>
      <c r="D16" s="236"/>
      <c r="E16" s="236"/>
      <c r="F16" s="236"/>
      <c r="G16" s="236"/>
      <c r="I16" s="95"/>
      <c r="J16" s="95"/>
      <c r="K16" s="95"/>
      <c r="L16" s="95"/>
      <c r="M16" s="95"/>
      <c r="N16" s="95"/>
    </row>
    <row r="17" spans="1:14" s="1" customFormat="1" ht="18" customHeight="1" x14ac:dyDescent="0.2">
      <c r="A17" s="236" t="s">
        <v>483</v>
      </c>
      <c r="B17" s="236"/>
      <c r="C17" s="236"/>
      <c r="D17" s="236"/>
      <c r="E17" s="236"/>
      <c r="F17" s="236"/>
      <c r="G17" s="236"/>
      <c r="I17" s="95"/>
      <c r="J17" s="95"/>
      <c r="K17" s="95"/>
      <c r="L17" s="95"/>
      <c r="M17" s="95"/>
      <c r="N17" s="95"/>
    </row>
    <row r="18" spans="1:14" x14ac:dyDescent="0.2">
      <c r="B18" s="13"/>
      <c r="C18" s="13"/>
      <c r="D18" s="13"/>
      <c r="E18" s="13"/>
      <c r="F18" s="13"/>
      <c r="G18" s="13"/>
      <c r="H18" s="13"/>
    </row>
    <row r="19" spans="1:14" x14ac:dyDescent="0.2">
      <c r="E19" s="28"/>
      <c r="F19" s="28"/>
      <c r="G19" s="28"/>
    </row>
    <row r="20" spans="1:14" x14ac:dyDescent="0.2">
      <c r="E20" s="28"/>
      <c r="F20" s="28"/>
      <c r="G20" s="28"/>
    </row>
    <row r="21" spans="1:14" x14ac:dyDescent="0.2">
      <c r="E21" s="28"/>
      <c r="F21" s="28"/>
      <c r="G21" s="28"/>
    </row>
    <row r="22" spans="1:14" x14ac:dyDescent="0.2">
      <c r="E22" s="28"/>
      <c r="F22" s="28"/>
      <c r="G22" s="28"/>
    </row>
    <row r="23" spans="1:14" x14ac:dyDescent="0.2">
      <c r="E23" s="28"/>
      <c r="F23" s="28"/>
      <c r="G23" s="28"/>
    </row>
    <row r="24" spans="1:14" x14ac:dyDescent="0.2">
      <c r="E24" s="28"/>
      <c r="F24" s="28"/>
      <c r="G24" s="28"/>
    </row>
    <row r="25" spans="1:14" x14ac:dyDescent="0.2">
      <c r="E25" s="28"/>
      <c r="F25" s="28"/>
      <c r="G25" s="28"/>
    </row>
    <row r="26" spans="1:14" x14ac:dyDescent="0.2">
      <c r="E26" s="28"/>
      <c r="F26" s="28"/>
      <c r="G26" s="28"/>
    </row>
  </sheetData>
  <phoneticPr fontId="17" type="noConversion"/>
  <pageMargins left="0.7" right="0.7" top="0.75" bottom="0.75" header="0.3" footer="0.3"/>
  <pageSetup orientation="portrait"/>
  <tableParts count="1">
    <tablePart r:id="rId1"/>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5"/>
  <sheetViews>
    <sheetView zoomScaleNormal="100" workbookViewId="0">
      <selection activeCell="K20" sqref="K20"/>
    </sheetView>
  </sheetViews>
  <sheetFormatPr baseColWidth="10" defaultColWidth="9.1640625" defaultRowHeight="15" x14ac:dyDescent="0.2"/>
  <cols>
    <col min="1" max="1" width="32" style="2" customWidth="1"/>
    <col min="2" max="2" width="15.6640625" style="2" customWidth="1"/>
    <col min="3" max="3" width="19.33203125" style="2" customWidth="1"/>
    <col min="4" max="4" width="17.33203125" style="2" customWidth="1"/>
    <col min="5" max="5" width="16.6640625" style="2" customWidth="1"/>
    <col min="6" max="6" width="9.1640625" style="2"/>
    <col min="7" max="16384" width="9.1640625" style="4"/>
  </cols>
  <sheetData>
    <row r="1" spans="1:6" ht="41" customHeight="1" x14ac:dyDescent="0.2">
      <c r="A1" s="94" t="s">
        <v>470</v>
      </c>
      <c r="B1" s="94"/>
      <c r="C1" s="94"/>
      <c r="D1" s="94"/>
      <c r="E1" s="94"/>
      <c r="F1" s="3"/>
    </row>
    <row r="2" spans="1:6" ht="17" x14ac:dyDescent="0.2">
      <c r="A2" s="271" t="s">
        <v>241</v>
      </c>
      <c r="B2" s="271" t="s">
        <v>57</v>
      </c>
      <c r="C2" s="272" t="s">
        <v>58</v>
      </c>
      <c r="D2" s="272" t="s">
        <v>59</v>
      </c>
      <c r="E2" s="272" t="s">
        <v>60</v>
      </c>
      <c r="F2" s="1"/>
    </row>
    <row r="3" spans="1:6" ht="18" customHeight="1" x14ac:dyDescent="0.2">
      <c r="A3" s="206" t="s">
        <v>431</v>
      </c>
      <c r="B3" s="206"/>
      <c r="C3" s="207">
        <v>150000</v>
      </c>
      <c r="D3" s="208">
        <v>1</v>
      </c>
      <c r="E3" s="5">
        <f t="shared" ref="E3:E13" si="0">C3*D3</f>
        <v>150000</v>
      </c>
      <c r="F3" s="1"/>
    </row>
    <row r="4" spans="1:6" ht="18" customHeight="1" x14ac:dyDescent="0.2">
      <c r="A4" s="206" t="s">
        <v>61</v>
      </c>
      <c r="B4" s="206" t="s">
        <v>62</v>
      </c>
      <c r="C4" s="207">
        <v>65000</v>
      </c>
      <c r="D4" s="208">
        <v>5</v>
      </c>
      <c r="E4" s="5">
        <f t="shared" si="0"/>
        <v>325000</v>
      </c>
      <c r="F4" s="1"/>
    </row>
    <row r="5" spans="1:6" ht="18" customHeight="1" x14ac:dyDescent="0.2">
      <c r="A5" s="206" t="s">
        <v>63</v>
      </c>
      <c r="B5" s="206" t="s">
        <v>64</v>
      </c>
      <c r="C5" s="207">
        <v>60000</v>
      </c>
      <c r="D5" s="208">
        <v>2</v>
      </c>
      <c r="E5" s="5">
        <f t="shared" si="0"/>
        <v>120000</v>
      </c>
      <c r="F5" s="1"/>
    </row>
    <row r="6" spans="1:6" ht="18" customHeight="1" x14ac:dyDescent="0.2">
      <c r="A6" s="206" t="s">
        <v>65</v>
      </c>
      <c r="B6" s="206" t="s">
        <v>66</v>
      </c>
      <c r="C6" s="207">
        <v>8000</v>
      </c>
      <c r="D6" s="208">
        <v>3</v>
      </c>
      <c r="E6" s="5">
        <f t="shared" si="0"/>
        <v>24000</v>
      </c>
      <c r="F6" s="1"/>
    </row>
    <row r="7" spans="1:6" ht="18" customHeight="1" x14ac:dyDescent="0.2">
      <c r="A7" s="206" t="s">
        <v>67</v>
      </c>
      <c r="B7" s="206"/>
      <c r="C7" s="207">
        <v>30000</v>
      </c>
      <c r="D7" s="208">
        <v>5</v>
      </c>
      <c r="E7" s="5">
        <f t="shared" si="0"/>
        <v>150000</v>
      </c>
      <c r="F7" s="1"/>
    </row>
    <row r="8" spans="1:6" ht="18" customHeight="1" x14ac:dyDescent="0.2">
      <c r="A8" s="206" t="s">
        <v>68</v>
      </c>
      <c r="B8" s="206"/>
      <c r="C8" s="207">
        <v>7000</v>
      </c>
      <c r="D8" s="208">
        <v>1</v>
      </c>
      <c r="E8" s="5">
        <f t="shared" si="0"/>
        <v>7000</v>
      </c>
      <c r="F8" s="1"/>
    </row>
    <row r="9" spans="1:6" ht="18" customHeight="1" x14ac:dyDescent="0.2">
      <c r="A9" s="206" t="s">
        <v>69</v>
      </c>
      <c r="B9" s="206" t="s">
        <v>70</v>
      </c>
      <c r="C9" s="207">
        <v>7800</v>
      </c>
      <c r="D9" s="208">
        <v>1</v>
      </c>
      <c r="E9" s="5">
        <f t="shared" si="0"/>
        <v>7800</v>
      </c>
      <c r="F9" s="1"/>
    </row>
    <row r="10" spans="1:6" ht="18" customHeight="1" x14ac:dyDescent="0.2">
      <c r="A10" s="206" t="s">
        <v>71</v>
      </c>
      <c r="B10" s="206"/>
      <c r="C10" s="207">
        <v>12000</v>
      </c>
      <c r="D10" s="208">
        <v>1</v>
      </c>
      <c r="E10" s="5">
        <f t="shared" si="0"/>
        <v>12000</v>
      </c>
      <c r="F10" s="1"/>
    </row>
    <row r="11" spans="1:6" ht="18" customHeight="1" x14ac:dyDescent="0.2">
      <c r="A11" s="206" t="s">
        <v>72</v>
      </c>
      <c r="B11" s="206"/>
      <c r="C11" s="207">
        <v>50000</v>
      </c>
      <c r="D11" s="208">
        <v>2</v>
      </c>
      <c r="E11" s="5">
        <f>C11*D11</f>
        <v>100000</v>
      </c>
      <c r="F11" s="1"/>
    </row>
    <row r="12" spans="1:6" ht="18" customHeight="1" x14ac:dyDescent="0.2">
      <c r="A12" s="209" t="s">
        <v>73</v>
      </c>
      <c r="B12" s="209"/>
      <c r="C12" s="207">
        <v>11000</v>
      </c>
      <c r="D12" s="208">
        <v>4</v>
      </c>
      <c r="E12" s="5">
        <f t="shared" si="0"/>
        <v>44000</v>
      </c>
      <c r="F12" s="1"/>
    </row>
    <row r="13" spans="1:6" ht="18" customHeight="1" x14ac:dyDescent="0.2">
      <c r="A13" s="209" t="s">
        <v>74</v>
      </c>
      <c r="B13" s="209" t="s">
        <v>75</v>
      </c>
      <c r="C13" s="207">
        <v>65000</v>
      </c>
      <c r="D13" s="208">
        <v>2</v>
      </c>
      <c r="E13" s="5">
        <f t="shared" si="0"/>
        <v>130000</v>
      </c>
      <c r="F13" s="1"/>
    </row>
    <row r="14" spans="1:6" ht="18" customHeight="1" x14ac:dyDescent="0.2">
      <c r="A14" s="209" t="s">
        <v>76</v>
      </c>
      <c r="B14" s="209" t="s">
        <v>77</v>
      </c>
      <c r="C14" s="207">
        <v>120</v>
      </c>
      <c r="D14" s="208">
        <v>100</v>
      </c>
      <c r="E14" s="5">
        <f>C14*D14</f>
        <v>12000</v>
      </c>
      <c r="F14" s="1"/>
    </row>
    <row r="15" spans="1:6" ht="18" customHeight="1" x14ac:dyDescent="0.2">
      <c r="A15" s="209" t="s">
        <v>78</v>
      </c>
      <c r="B15" s="209"/>
      <c r="C15" s="207">
        <v>60000</v>
      </c>
      <c r="D15" s="208">
        <v>3</v>
      </c>
      <c r="E15" s="5">
        <f>C15*D15</f>
        <v>180000</v>
      </c>
      <c r="F15" s="1"/>
    </row>
    <row r="16" spans="1:6" ht="18" customHeight="1" x14ac:dyDescent="0.2">
      <c r="A16" s="209" t="s">
        <v>432</v>
      </c>
      <c r="B16" s="209"/>
      <c r="C16" s="207">
        <v>50000</v>
      </c>
      <c r="D16" s="208">
        <v>1</v>
      </c>
      <c r="E16" s="5">
        <f>C16*D16</f>
        <v>50000</v>
      </c>
      <c r="F16" s="1"/>
    </row>
    <row r="17" spans="1:6" ht="18" customHeight="1" thickBot="1" x14ac:dyDescent="0.25">
      <c r="A17" s="209" t="s">
        <v>433</v>
      </c>
      <c r="B17" s="209"/>
      <c r="C17" s="207">
        <v>20000</v>
      </c>
      <c r="D17" s="208">
        <v>1</v>
      </c>
      <c r="E17" s="12">
        <f>C17*D17</f>
        <v>20000</v>
      </c>
      <c r="F17" s="1"/>
    </row>
    <row r="18" spans="1:6" ht="18" customHeight="1" thickTop="1" x14ac:dyDescent="0.2">
      <c r="A18" s="102" t="s">
        <v>52</v>
      </c>
      <c r="B18" s="102"/>
      <c r="C18" s="243"/>
      <c r="D18" s="273"/>
      <c r="E18" s="243">
        <f>SUM(E3:E17)</f>
        <v>1331800</v>
      </c>
      <c r="F18" s="1"/>
    </row>
    <row r="19" spans="1:6" s="15" customFormat="1" ht="18" customHeight="1" x14ac:dyDescent="0.2">
      <c r="A19" s="236" t="s">
        <v>79</v>
      </c>
      <c r="B19" s="236"/>
      <c r="C19" s="236"/>
      <c r="D19" s="236"/>
      <c r="E19" s="236"/>
      <c r="F19" s="14"/>
    </row>
    <row r="20" spans="1:6" s="15" customFormat="1" ht="18" customHeight="1" x14ac:dyDescent="0.2">
      <c r="A20" s="236" t="s">
        <v>439</v>
      </c>
      <c r="B20" s="240"/>
      <c r="C20" s="240"/>
      <c r="D20" s="240"/>
      <c r="E20" s="240"/>
      <c r="F20" s="14"/>
    </row>
    <row r="21" spans="1:6" s="15" customFormat="1" ht="18" customHeight="1" x14ac:dyDescent="0.2">
      <c r="A21" s="236" t="s">
        <v>430</v>
      </c>
      <c r="B21" s="236"/>
      <c r="C21" s="236"/>
      <c r="D21" s="236"/>
      <c r="E21" s="236"/>
      <c r="F21" s="14"/>
    </row>
    <row r="22" spans="1:6" s="15" customFormat="1" ht="18" customHeight="1" x14ac:dyDescent="0.2">
      <c r="A22" s="236" t="s">
        <v>80</v>
      </c>
      <c r="B22" s="236"/>
      <c r="C22" s="236"/>
      <c r="D22" s="236"/>
      <c r="E22" s="236"/>
      <c r="F22" s="14"/>
    </row>
    <row r="23" spans="1:6" s="15" customFormat="1" ht="18" customHeight="1" x14ac:dyDescent="0.2">
      <c r="A23" s="236" t="s">
        <v>81</v>
      </c>
      <c r="B23" s="236"/>
      <c r="C23" s="236"/>
      <c r="D23" s="236"/>
      <c r="E23" s="236"/>
      <c r="F23" s="14"/>
    </row>
    <row r="24" spans="1:6" s="15" customFormat="1" ht="18" customHeight="1" x14ac:dyDescent="0.2">
      <c r="A24" s="236" t="s">
        <v>82</v>
      </c>
      <c r="B24" s="236"/>
      <c r="C24" s="236"/>
      <c r="D24" s="236"/>
      <c r="E24" s="236"/>
      <c r="F24" s="14"/>
    </row>
    <row r="25" spans="1:6" s="15" customFormat="1" ht="18" customHeight="1" x14ac:dyDescent="0.2">
      <c r="A25" s="236" t="s">
        <v>83</v>
      </c>
      <c r="B25" s="236"/>
      <c r="C25" s="236"/>
      <c r="D25" s="236"/>
      <c r="E25" s="236"/>
      <c r="F25" s="14"/>
    </row>
  </sheetData>
  <protectedRanges>
    <protectedRange sqref="C3:D17" name="Price and No. of Units_1"/>
  </protectedRanges>
  <phoneticPr fontId="17" type="noConversion"/>
  <pageMargins left="0.7" right="0.7" top="0.75" bottom="0.75" header="0.3" footer="0.3"/>
  <pageSetup scale="84" orientation="portrait" horizontalDpi="4294967293" verticalDpi="4294967293"/>
  <tableParts count="1">
    <tablePart r:id="rId1"/>
  </tableParts>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9"/>
  <sheetViews>
    <sheetView zoomScaleNormal="100" workbookViewId="0">
      <selection activeCell="A20" sqref="A20"/>
    </sheetView>
  </sheetViews>
  <sheetFormatPr baseColWidth="10" defaultColWidth="9.1640625" defaultRowHeight="14" x14ac:dyDescent="0.15"/>
  <cols>
    <col min="1" max="1" width="31.6640625" style="2" customWidth="1"/>
    <col min="2" max="2" width="17.83203125" style="2" customWidth="1"/>
    <col min="3" max="3" width="10.83203125" style="2" customWidth="1"/>
    <col min="4" max="4" width="12.1640625" style="2" customWidth="1"/>
    <col min="5" max="5" width="14.1640625" style="2" customWidth="1"/>
    <col min="6" max="6" width="17.83203125" style="2" customWidth="1"/>
    <col min="7" max="7" width="5.1640625" style="2" customWidth="1"/>
    <col min="8" max="8" width="9.1640625" style="2"/>
    <col min="9" max="9" width="10.5" style="2" bestFit="1" customWidth="1"/>
    <col min="10" max="16384" width="9.1640625" style="2"/>
  </cols>
  <sheetData>
    <row r="1" spans="1:7" s="109" customFormat="1" ht="30" customHeight="1" x14ac:dyDescent="0.2">
      <c r="A1" s="94" t="s">
        <v>471</v>
      </c>
      <c r="B1" s="94"/>
      <c r="C1" s="94"/>
      <c r="D1" s="94"/>
      <c r="E1" s="94"/>
      <c r="F1" s="94"/>
      <c r="G1" s="96"/>
    </row>
    <row r="2" spans="1:7" s="8" customFormat="1" ht="28.25" customHeight="1" x14ac:dyDescent="0.15">
      <c r="A2" s="244" t="s">
        <v>242</v>
      </c>
      <c r="B2" s="245" t="s">
        <v>84</v>
      </c>
      <c r="C2" s="245" t="s">
        <v>85</v>
      </c>
      <c r="D2" s="245" t="s">
        <v>86</v>
      </c>
      <c r="E2" s="245" t="s">
        <v>87</v>
      </c>
      <c r="F2" s="245" t="s">
        <v>88</v>
      </c>
    </row>
    <row r="3" spans="1:7" ht="18" customHeight="1" x14ac:dyDescent="0.15">
      <c r="A3" s="1" t="s">
        <v>89</v>
      </c>
      <c r="B3" s="55">
        <f>'App A5. Estab Costs'!$G$11+'App A5. Estab Costs'!$G$12</f>
        <v>42146.5</v>
      </c>
      <c r="C3" s="55">
        <v>0</v>
      </c>
      <c r="D3" s="55">
        <f>'App A9. Data for tables'!$H$78</f>
        <v>11</v>
      </c>
      <c r="E3" s="110">
        <f>((B3+C3)/2)*'App A9. Data for tables'!$H$74</f>
        <v>1053.6625000000001</v>
      </c>
      <c r="F3" s="110">
        <f>E3/D3</f>
        <v>95.787500000000009</v>
      </c>
      <c r="G3" s="130"/>
    </row>
    <row r="4" spans="1:7" ht="18" customHeight="1" x14ac:dyDescent="0.15">
      <c r="A4" s="86" t="s">
        <v>369</v>
      </c>
      <c r="B4" s="55">
        <f>'App A5. Estab Costs'!$G$63</f>
        <v>0</v>
      </c>
      <c r="C4" s="55">
        <v>0</v>
      </c>
      <c r="D4" s="55">
        <f>'App A9. Data for tables'!$H$78</f>
        <v>11</v>
      </c>
      <c r="E4" s="110">
        <f>((B4+C4)/2)*'App A9. Data for tables'!$H$74</f>
        <v>0</v>
      </c>
      <c r="F4" s="110">
        <f>E4/D4</f>
        <v>0</v>
      </c>
      <c r="G4" s="130"/>
    </row>
    <row r="5" spans="1:7" ht="18" customHeight="1" x14ac:dyDescent="0.15">
      <c r="A5" s="86" t="s">
        <v>308</v>
      </c>
      <c r="B5" s="55">
        <f>'App A5. Estab Costs'!$G$65</f>
        <v>0</v>
      </c>
      <c r="C5" s="55">
        <v>0</v>
      </c>
      <c r="D5" s="55">
        <f>'App A9. Data for tables'!$H$78</f>
        <v>11</v>
      </c>
      <c r="E5" s="110">
        <f>((B5+C5)/2)*'App A9. Data for tables'!$H$74</f>
        <v>0</v>
      </c>
      <c r="F5" s="110">
        <f>E5/D5</f>
        <v>0</v>
      </c>
      <c r="G5" s="130"/>
    </row>
    <row r="6" spans="1:7" ht="18" customHeight="1" x14ac:dyDescent="0.15">
      <c r="A6" s="1" t="s">
        <v>90</v>
      </c>
      <c r="B6" s="55">
        <f>'App A5. Estab Costs'!$G$3</f>
        <v>216000</v>
      </c>
      <c r="C6" s="55" t="s">
        <v>91</v>
      </c>
      <c r="D6" s="55">
        <f>'App A9. Data for tables'!$H$77</f>
        <v>12</v>
      </c>
      <c r="E6" s="110">
        <f>B6*'App A9. Data for tables'!$H$74</f>
        <v>10800</v>
      </c>
      <c r="F6" s="110">
        <f>E6/D6</f>
        <v>900</v>
      </c>
      <c r="G6" s="109"/>
    </row>
    <row r="7" spans="1:7" ht="18" customHeight="1" x14ac:dyDescent="0.15">
      <c r="A7" s="1" t="s">
        <v>92</v>
      </c>
      <c r="B7" s="55">
        <f>'App A2. Mach Etc Req'!$E$18</f>
        <v>1331800</v>
      </c>
      <c r="C7" s="55">
        <f>'App A7. Salv Value &amp; Dep Calc'!E18</f>
        <v>118180</v>
      </c>
      <c r="D7" s="55">
        <f>'App A9. Data for tables'!$H$80</f>
        <v>300</v>
      </c>
      <c r="E7" s="110">
        <f>((B7+C7)/2)*'App A9. Data for tables'!$H$74</f>
        <v>36249.5</v>
      </c>
      <c r="F7" s="110">
        <f>E7/D7</f>
        <v>120.83166666666666</v>
      </c>
      <c r="G7" s="109"/>
    </row>
    <row r="8" spans="1:7" ht="18" customHeight="1" x14ac:dyDescent="0.15">
      <c r="A8" s="109" t="s">
        <v>93</v>
      </c>
      <c r="B8" s="110">
        <f>'App A5. Estab Costs'!$G$13</f>
        <v>0</v>
      </c>
      <c r="C8" s="131">
        <v>0</v>
      </c>
      <c r="D8" s="55">
        <f>'App A9. Data for tables'!$H$78</f>
        <v>11</v>
      </c>
      <c r="E8" s="110">
        <f>((B8+C8)/2)*'App A9. Data for tables'!$H$74</f>
        <v>0</v>
      </c>
      <c r="F8" s="110">
        <f t="shared" ref="F8:F10" si="0">E8/D8</f>
        <v>0</v>
      </c>
      <c r="G8" s="109"/>
    </row>
    <row r="9" spans="1:7" ht="18" customHeight="1" x14ac:dyDescent="0.15">
      <c r="A9" s="1" t="s">
        <v>94</v>
      </c>
      <c r="B9" s="55">
        <f>'App A5. Estab Costs'!$G$14</f>
        <v>0</v>
      </c>
      <c r="C9" s="55">
        <v>0</v>
      </c>
      <c r="D9" s="55">
        <f>'App A9. Data for tables'!$H$78</f>
        <v>11</v>
      </c>
      <c r="E9" s="110">
        <f>((B9+C9)/2)*'App A9. Data for tables'!$H$74</f>
        <v>0</v>
      </c>
      <c r="F9" s="110">
        <f t="shared" si="0"/>
        <v>0</v>
      </c>
      <c r="G9" s="109"/>
    </row>
    <row r="10" spans="1:7" ht="18" customHeight="1" x14ac:dyDescent="0.15">
      <c r="A10" s="109" t="s">
        <v>95</v>
      </c>
      <c r="B10" s="110">
        <f>'App A5. Estab Costs'!$G$10</f>
        <v>38500</v>
      </c>
      <c r="C10" s="131">
        <v>0</v>
      </c>
      <c r="D10" s="55">
        <f>'App A9. Data for tables'!$H$78</f>
        <v>11</v>
      </c>
      <c r="E10" s="110">
        <f>((B10+C10)/2)*'App A9. Data for tables'!$H$74</f>
        <v>962.5</v>
      </c>
      <c r="F10" s="110">
        <f t="shared" si="0"/>
        <v>87.5</v>
      </c>
      <c r="G10" s="109"/>
    </row>
    <row r="11" spans="1:7" ht="18" customHeight="1" x14ac:dyDescent="0.15">
      <c r="A11" s="11" t="s">
        <v>96</v>
      </c>
      <c r="B11" s="55">
        <f>'App A5. Estab Costs'!$G$76</f>
        <v>43500</v>
      </c>
      <c r="C11" s="55">
        <v>0</v>
      </c>
      <c r="D11" s="55">
        <f>'App A9. Data for tables'!$H$78</f>
        <v>11</v>
      </c>
      <c r="E11" s="110">
        <f>((B11+C11)/2)*'App A9. Data for tables'!$H$74</f>
        <v>1087.5</v>
      </c>
      <c r="F11" s="110">
        <f>E11/D11</f>
        <v>98.86363636363636</v>
      </c>
      <c r="G11" s="109"/>
    </row>
    <row r="12" spans="1:7" ht="18" customHeight="1" x14ac:dyDescent="0.15">
      <c r="A12" s="111" t="s">
        <v>49</v>
      </c>
      <c r="B12" s="109"/>
      <c r="C12" s="109"/>
      <c r="D12" s="109"/>
      <c r="E12" s="109"/>
      <c r="F12" s="109"/>
      <c r="G12" s="109"/>
    </row>
    <row r="13" spans="1:7" s="109" customFormat="1" ht="18" customHeight="1" x14ac:dyDescent="0.15">
      <c r="A13" s="111" t="s">
        <v>98</v>
      </c>
      <c r="B13" s="132"/>
      <c r="F13" s="133"/>
    </row>
    <row r="14" spans="1:7" s="109" customFormat="1" ht="18" customHeight="1" x14ac:dyDescent="0.15">
      <c r="A14" s="111" t="s">
        <v>99</v>
      </c>
      <c r="B14" s="111"/>
      <c r="C14" s="111"/>
      <c r="D14" s="111"/>
      <c r="E14" s="111"/>
      <c r="F14" s="111"/>
    </row>
    <row r="15" spans="1:7" s="109" customFormat="1" ht="18" customHeight="1" x14ac:dyDescent="0.15">
      <c r="A15" s="111" t="s">
        <v>403</v>
      </c>
      <c r="B15" s="111"/>
      <c r="C15" s="111"/>
      <c r="D15" s="111"/>
      <c r="E15" s="111"/>
      <c r="F15" s="111"/>
    </row>
    <row r="16" spans="1:7" s="109" customFormat="1" ht="18" customHeight="1" x14ac:dyDescent="0.15">
      <c r="A16" s="134" t="s">
        <v>404</v>
      </c>
      <c r="B16" s="111"/>
      <c r="C16" s="111"/>
      <c r="D16" s="111"/>
      <c r="E16" s="111"/>
      <c r="F16" s="111"/>
    </row>
    <row r="17" spans="1:6" s="109" customFormat="1" ht="18" customHeight="1" x14ac:dyDescent="0.15">
      <c r="A17" s="111" t="s">
        <v>405</v>
      </c>
      <c r="B17" s="111"/>
      <c r="C17" s="111"/>
      <c r="D17" s="111"/>
      <c r="E17" s="111"/>
      <c r="F17" s="111"/>
    </row>
    <row r="18" spans="1:6" s="109" customFormat="1" ht="18" customHeight="1" x14ac:dyDescent="0.15">
      <c r="A18" s="134" t="s">
        <v>406</v>
      </c>
      <c r="B18" s="111"/>
      <c r="C18" s="111"/>
      <c r="D18" s="111"/>
      <c r="E18" s="111"/>
      <c r="F18" s="111"/>
    </row>
    <row r="19" spans="1:6" s="109" customFormat="1" ht="18" customHeight="1" x14ac:dyDescent="0.15">
      <c r="A19" s="112" t="s">
        <v>474</v>
      </c>
      <c r="B19" s="112"/>
      <c r="C19" s="112"/>
      <c r="D19" s="112"/>
      <c r="E19" s="112"/>
      <c r="F19" s="112"/>
    </row>
  </sheetData>
  <phoneticPr fontId="17" type="noConversion"/>
  <pageMargins left="0.7" right="0.7" top="0.75" bottom="0.75" header="0.3" footer="0.3"/>
  <pageSetup orientation="portrait" r:id="rId1"/>
  <tableParts count="1">
    <tablePart r:id="rId2"/>
  </tablePart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0565-7131-44E1-89F2-2E5BD1F7B767}">
  <dimension ref="A1:F13"/>
  <sheetViews>
    <sheetView zoomScaleNormal="100" workbookViewId="0">
      <selection activeCell="A14" sqref="A14"/>
    </sheetView>
  </sheetViews>
  <sheetFormatPr baseColWidth="10" defaultColWidth="9.1640625" defaultRowHeight="14" x14ac:dyDescent="0.2"/>
  <cols>
    <col min="1" max="1" width="31.6640625" style="16" customWidth="1"/>
    <col min="2" max="2" width="16.1640625" style="16" customWidth="1"/>
    <col min="3" max="3" width="12.5" style="16" customWidth="1"/>
    <col min="4" max="4" width="14" style="16" customWidth="1"/>
    <col min="5" max="5" width="11.5" style="16" customWidth="1"/>
    <col min="6" max="6" width="16.6640625" style="16" customWidth="1"/>
    <col min="7" max="7" width="5.1640625" style="16" customWidth="1"/>
    <col min="8" max="8" width="9.1640625" style="16"/>
    <col min="9" max="9" width="10.5" style="16" bestFit="1" customWidth="1"/>
    <col min="10" max="16384" width="9.1640625" style="16"/>
  </cols>
  <sheetData>
    <row r="1" spans="1:6" s="109" customFormat="1" ht="30" customHeight="1" x14ac:dyDescent="0.2">
      <c r="A1" s="94" t="s">
        <v>472</v>
      </c>
      <c r="B1" s="94"/>
      <c r="C1" s="94"/>
      <c r="D1" s="94"/>
      <c r="E1" s="94"/>
      <c r="F1" s="94"/>
    </row>
    <row r="2" spans="1:6" s="20" customFormat="1" ht="40.25" customHeight="1" x14ac:dyDescent="0.2">
      <c r="A2" s="246" t="s">
        <v>242</v>
      </c>
      <c r="B2" s="247" t="s">
        <v>84</v>
      </c>
      <c r="C2" s="247" t="s">
        <v>86</v>
      </c>
      <c r="D2" s="247" t="s">
        <v>100</v>
      </c>
      <c r="E2" s="247" t="s">
        <v>101</v>
      </c>
      <c r="F2" s="247" t="s">
        <v>102</v>
      </c>
    </row>
    <row r="3" spans="1:6" ht="18" customHeight="1" x14ac:dyDescent="0.2">
      <c r="A3" s="14" t="s">
        <v>34</v>
      </c>
      <c r="B3" s="41">
        <f>'App A3. Interest'!B3</f>
        <v>42146.5</v>
      </c>
      <c r="C3" s="40">
        <f>'App A9. Data for tables'!$H$78</f>
        <v>11</v>
      </c>
      <c r="D3" s="41">
        <f>B3/C3</f>
        <v>3831.5</v>
      </c>
      <c r="E3" s="210">
        <v>30</v>
      </c>
      <c r="F3" s="41">
        <f>(D3-'App A3. Interest'!C3)/E3</f>
        <v>127.71666666666667</v>
      </c>
    </row>
    <row r="4" spans="1:6" ht="18" customHeight="1" x14ac:dyDescent="0.2">
      <c r="A4" s="14" t="s">
        <v>368</v>
      </c>
      <c r="B4" s="41">
        <f>'App A3. Interest'!B4</f>
        <v>0</v>
      </c>
      <c r="C4" s="40">
        <f>'App A9. Data for tables'!$H$78</f>
        <v>11</v>
      </c>
      <c r="D4" s="41">
        <f>B4/C4</f>
        <v>0</v>
      </c>
      <c r="E4" s="211">
        <v>10</v>
      </c>
      <c r="F4" s="41">
        <f>(D4-'App A3. Interest'!C4)/E4</f>
        <v>0</v>
      </c>
    </row>
    <row r="5" spans="1:6" ht="18" customHeight="1" x14ac:dyDescent="0.2">
      <c r="A5" s="10" t="s">
        <v>165</v>
      </c>
      <c r="B5" s="41">
        <f>'App A3. Interest'!B5</f>
        <v>0</v>
      </c>
      <c r="C5" s="40">
        <f>'App A9. Data for tables'!$H$78</f>
        <v>11</v>
      </c>
      <c r="D5" s="41">
        <f>B5/C5</f>
        <v>0</v>
      </c>
      <c r="E5" s="211">
        <v>20</v>
      </c>
      <c r="F5" s="41">
        <f>(D5-'App A3. Interest'!C5)/E5</f>
        <v>0</v>
      </c>
    </row>
    <row r="6" spans="1:6" ht="18" customHeight="1" x14ac:dyDescent="0.2">
      <c r="A6" s="17" t="s">
        <v>36</v>
      </c>
      <c r="B6" s="41">
        <f>'App A3. Interest'!B8</f>
        <v>0</v>
      </c>
      <c r="C6" s="40">
        <f>'App A9. Data for tables'!$H$78</f>
        <v>11</v>
      </c>
      <c r="D6" s="41">
        <f t="shared" ref="D6:D9" si="0">B6/C6</f>
        <v>0</v>
      </c>
      <c r="E6" s="210">
        <v>30</v>
      </c>
      <c r="F6" s="41">
        <f>(D6-'App A3. Interest'!C8)/E6</f>
        <v>0</v>
      </c>
    </row>
    <row r="7" spans="1:6" ht="18" customHeight="1" x14ac:dyDescent="0.2">
      <c r="A7" s="14" t="s">
        <v>37</v>
      </c>
      <c r="B7" s="41">
        <f>'App A3. Interest'!B9</f>
        <v>0</v>
      </c>
      <c r="C7" s="40">
        <f>'App A9. Data for tables'!$H$78</f>
        <v>11</v>
      </c>
      <c r="D7" s="41">
        <f t="shared" si="0"/>
        <v>0</v>
      </c>
      <c r="E7" s="210">
        <v>50</v>
      </c>
      <c r="F7" s="41">
        <f>(D7-'App A3. Interest'!C9)/E7</f>
        <v>0</v>
      </c>
    </row>
    <row r="8" spans="1:6" ht="18" customHeight="1" x14ac:dyDescent="0.2">
      <c r="A8" s="17" t="s">
        <v>38</v>
      </c>
      <c r="B8" s="41">
        <f>'App A3. Interest'!B10</f>
        <v>38500</v>
      </c>
      <c r="C8" s="40">
        <f>'App A9. Data for tables'!$H$78</f>
        <v>11</v>
      </c>
      <c r="D8" s="41">
        <f t="shared" si="0"/>
        <v>3500</v>
      </c>
      <c r="E8" s="210">
        <v>25</v>
      </c>
      <c r="F8" s="41">
        <f>(D8-'App A3. Interest'!C10)/E8</f>
        <v>140</v>
      </c>
    </row>
    <row r="9" spans="1:6" ht="18" customHeight="1" x14ac:dyDescent="0.2">
      <c r="A9" s="25" t="s">
        <v>41</v>
      </c>
      <c r="B9" s="41">
        <f>'App A3. Interest'!B11</f>
        <v>43500</v>
      </c>
      <c r="C9" s="40">
        <f>'App A9. Data for tables'!$H$78</f>
        <v>11</v>
      </c>
      <c r="D9" s="41">
        <f t="shared" si="0"/>
        <v>3954.5454545454545</v>
      </c>
      <c r="E9" s="210">
        <v>30</v>
      </c>
      <c r="F9" s="41">
        <f>(D9-'App A3. Interest'!C11)/E9</f>
        <v>131.81818181818181</v>
      </c>
    </row>
    <row r="10" spans="1:6" ht="18" customHeight="1" x14ac:dyDescent="0.2">
      <c r="A10" s="14" t="s">
        <v>103</v>
      </c>
      <c r="B10" s="248" t="s">
        <v>254</v>
      </c>
      <c r="C10" s="248" t="s">
        <v>254</v>
      </c>
      <c r="D10" s="248" t="s">
        <v>254</v>
      </c>
      <c r="E10" s="249" t="s">
        <v>254</v>
      </c>
      <c r="F10" s="41">
        <f>'App A7. Salv Value &amp; Dep Calc'!G18</f>
        <v>378.40666666666669</v>
      </c>
    </row>
    <row r="11" spans="1:6" ht="18" customHeight="1" x14ac:dyDescent="0.2">
      <c r="A11" s="24" t="s">
        <v>49</v>
      </c>
      <c r="B11" s="17"/>
      <c r="C11" s="17"/>
      <c r="D11" s="17"/>
      <c r="E11" s="17"/>
      <c r="F11" s="17"/>
    </row>
    <row r="12" spans="1:6" ht="18" customHeight="1" x14ac:dyDescent="0.2">
      <c r="A12" s="21" t="s">
        <v>104</v>
      </c>
      <c r="B12" s="21"/>
      <c r="C12" s="21"/>
      <c r="D12" s="21"/>
      <c r="E12" s="21"/>
      <c r="F12" s="21"/>
    </row>
    <row r="13" spans="1:6" ht="18" customHeight="1" x14ac:dyDescent="0.2">
      <c r="A13" s="24" t="s">
        <v>473</v>
      </c>
      <c r="B13" s="17"/>
      <c r="C13" s="17"/>
      <c r="D13" s="17"/>
      <c r="E13" s="17"/>
      <c r="F13" s="17"/>
    </row>
  </sheetData>
  <protectedRanges>
    <protectedRange sqref="E3:E9" name="Depreciation"/>
  </protectedRange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23"/>
  <sheetViews>
    <sheetView zoomScaleNormal="100" workbookViewId="0">
      <selection activeCell="A2" sqref="A2"/>
    </sheetView>
  </sheetViews>
  <sheetFormatPr baseColWidth="10" defaultColWidth="9.1640625" defaultRowHeight="14" x14ac:dyDescent="0.15"/>
  <cols>
    <col min="1" max="1" width="9.6640625" style="104" customWidth="1"/>
    <col min="2" max="2" width="54.33203125" style="9" customWidth="1"/>
    <col min="3" max="3" width="10.1640625" style="31" customWidth="1"/>
    <col min="4" max="4" width="10.83203125" style="31" customWidth="1"/>
    <col min="5" max="5" width="12" style="31" customWidth="1"/>
    <col min="6" max="6" width="11.1640625" style="31" customWidth="1"/>
    <col min="7" max="7" width="17.1640625" style="31" customWidth="1"/>
    <col min="8" max="8" width="11.5" style="103" customWidth="1"/>
    <col min="9" max="16384" width="9.1640625" style="104"/>
  </cols>
  <sheetData>
    <row r="1" spans="1:8" ht="39" customHeight="1" x14ac:dyDescent="0.2">
      <c r="A1" s="76" t="s">
        <v>475</v>
      </c>
      <c r="B1" s="76"/>
      <c r="C1" s="76"/>
      <c r="D1" s="76"/>
      <c r="E1" s="76"/>
      <c r="F1" s="76"/>
      <c r="G1" s="76"/>
    </row>
    <row r="2" spans="1:8" s="8" customFormat="1" ht="30" x14ac:dyDescent="0.15">
      <c r="A2" s="250" t="s">
        <v>250</v>
      </c>
      <c r="B2" s="251" t="s">
        <v>57</v>
      </c>
      <c r="C2" s="62" t="s">
        <v>105</v>
      </c>
      <c r="D2" s="62" t="s">
        <v>106</v>
      </c>
      <c r="E2" s="62" t="s">
        <v>107</v>
      </c>
      <c r="F2" s="62" t="s">
        <v>86</v>
      </c>
      <c r="G2" s="62" t="s">
        <v>108</v>
      </c>
      <c r="H2" s="103"/>
    </row>
    <row r="3" spans="1:8" ht="18" customHeight="1" x14ac:dyDescent="0.15">
      <c r="A3" s="103" t="s">
        <v>109</v>
      </c>
      <c r="B3" s="9" t="s">
        <v>243</v>
      </c>
      <c r="C3" s="30"/>
      <c r="D3" s="30"/>
      <c r="E3" s="56">
        <f>'App A9. Data for tables'!$C$12</f>
        <v>18000</v>
      </c>
      <c r="F3" s="57">
        <f>'App A9. Data for tables'!$C$77</f>
        <v>12</v>
      </c>
      <c r="G3" s="30">
        <f t="shared" ref="G3:G31" si="0">E3*F3</f>
        <v>216000</v>
      </c>
      <c r="H3" s="114"/>
    </row>
    <row r="4" spans="1:8" ht="18" customHeight="1" x14ac:dyDescent="0.15">
      <c r="A4" s="103" t="s">
        <v>109</v>
      </c>
      <c r="B4" s="9" t="s">
        <v>274</v>
      </c>
      <c r="E4" s="56">
        <f>'App A9. Data for tables'!$C$13</f>
        <v>1200</v>
      </c>
      <c r="F4" s="57">
        <f>'App A9. Data for tables'!$C$78</f>
        <v>11</v>
      </c>
      <c r="G4" s="30">
        <f t="shared" si="0"/>
        <v>13200</v>
      </c>
    </row>
    <row r="5" spans="1:8" ht="18" customHeight="1" x14ac:dyDescent="0.15">
      <c r="A5" s="103" t="s">
        <v>109</v>
      </c>
      <c r="B5" s="9" t="s">
        <v>244</v>
      </c>
      <c r="E5" s="56">
        <f>'App A9. Data for tables'!$C$14</f>
        <v>1000</v>
      </c>
      <c r="F5" s="57">
        <f>'App A9. Data for tables'!$C$78</f>
        <v>11</v>
      </c>
      <c r="G5" s="30">
        <f t="shared" si="0"/>
        <v>11000</v>
      </c>
    </row>
    <row r="6" spans="1:8" ht="18" customHeight="1" x14ac:dyDescent="0.15">
      <c r="A6" s="103" t="s">
        <v>109</v>
      </c>
      <c r="B6" s="9" t="s">
        <v>245</v>
      </c>
      <c r="E6" s="56">
        <f>'App A9. Data for tables'!$C$15</f>
        <v>300</v>
      </c>
      <c r="F6" s="57">
        <f>'App A9. Data for tables'!$C$78</f>
        <v>11</v>
      </c>
      <c r="G6" s="30">
        <f t="shared" si="0"/>
        <v>3300</v>
      </c>
      <c r="H6" s="114"/>
    </row>
    <row r="7" spans="1:8" ht="18" customHeight="1" x14ac:dyDescent="0.15">
      <c r="A7" s="103" t="s">
        <v>109</v>
      </c>
      <c r="B7" s="9" t="s">
        <v>246</v>
      </c>
      <c r="E7" s="56">
        <f>'App A9. Data for tables'!$C$16+('App A9. Data for tables'!$C$17*'App A9. Data for tables'!$C$18)</f>
        <v>311.315</v>
      </c>
      <c r="F7" s="57">
        <f>'App A9. Data for tables'!$C$78</f>
        <v>11</v>
      </c>
      <c r="G7" s="30">
        <f t="shared" si="0"/>
        <v>3424.4650000000001</v>
      </c>
    </row>
    <row r="8" spans="1:8" ht="18" customHeight="1" x14ac:dyDescent="0.15">
      <c r="A8" s="103" t="s">
        <v>109</v>
      </c>
      <c r="B8" s="9" t="s">
        <v>247</v>
      </c>
      <c r="C8" s="56">
        <f>'App A9. Data for tables'!$C$20</f>
        <v>13.5</v>
      </c>
      <c r="D8" s="57">
        <f>'App A9. Data for tables'!$C$79</f>
        <v>519</v>
      </c>
      <c r="E8" s="30">
        <f>C8*D8</f>
        <v>7006.5</v>
      </c>
      <c r="F8" s="57">
        <f>'App A9. Data for tables'!$C$78</f>
        <v>11</v>
      </c>
      <c r="G8" s="30">
        <f t="shared" si="0"/>
        <v>77071.5</v>
      </c>
    </row>
    <row r="9" spans="1:8" ht="18" customHeight="1" x14ac:dyDescent="0.15">
      <c r="A9" s="103" t="s">
        <v>109</v>
      </c>
      <c r="B9" s="9" t="s">
        <v>289</v>
      </c>
      <c r="C9" s="56"/>
      <c r="D9" s="57"/>
      <c r="E9" s="30">
        <f>'App A9. Data for tables'!$C$21</f>
        <v>500</v>
      </c>
      <c r="F9" s="57">
        <f>'App A9. Data for tables'!$C$78</f>
        <v>11</v>
      </c>
      <c r="G9" s="30">
        <f t="shared" si="0"/>
        <v>5500</v>
      </c>
      <c r="H9" s="114"/>
    </row>
    <row r="10" spans="1:8" ht="18" customHeight="1" x14ac:dyDescent="0.15">
      <c r="A10" s="103" t="s">
        <v>109</v>
      </c>
      <c r="B10" s="60" t="s">
        <v>14</v>
      </c>
      <c r="C10" s="30"/>
      <c r="D10" s="30"/>
      <c r="E10" s="30">
        <f>'App A9. Data for tables'!C22</f>
        <v>3500</v>
      </c>
      <c r="F10" s="57">
        <f>'App A9. Data for tables'!$C$78</f>
        <v>11</v>
      </c>
      <c r="G10" s="30">
        <f t="shared" si="0"/>
        <v>38500</v>
      </c>
      <c r="H10" s="114"/>
    </row>
    <row r="11" spans="1:8" ht="18" customHeight="1" x14ac:dyDescent="0.15">
      <c r="A11" s="103" t="s">
        <v>109</v>
      </c>
      <c r="B11" s="9" t="s">
        <v>248</v>
      </c>
      <c r="C11" s="56"/>
      <c r="D11" s="70"/>
      <c r="E11" s="30">
        <f>'App A9. Data for tables'!$C$27</f>
        <v>2700</v>
      </c>
      <c r="F11" s="57">
        <f>'App A9. Data for tables'!$C$78</f>
        <v>11</v>
      </c>
      <c r="G11" s="30">
        <f t="shared" si="0"/>
        <v>29700</v>
      </c>
    </row>
    <row r="12" spans="1:8" ht="18" customHeight="1" x14ac:dyDescent="0.15">
      <c r="A12" s="103" t="s">
        <v>109</v>
      </c>
      <c r="B12" s="9" t="s">
        <v>249</v>
      </c>
      <c r="C12" s="56"/>
      <c r="D12" s="70"/>
      <c r="E12" s="30">
        <f>'App A9. Data for tables'!$C$28*'App A9. Data for tables'!$C$29</f>
        <v>1131.5</v>
      </c>
      <c r="F12" s="57">
        <f>'App A9. Data for tables'!$C$78</f>
        <v>11</v>
      </c>
      <c r="G12" s="30">
        <f t="shared" si="0"/>
        <v>12446.5</v>
      </c>
      <c r="H12" s="114"/>
    </row>
    <row r="13" spans="1:8" ht="18" customHeight="1" x14ac:dyDescent="0.15">
      <c r="A13" s="103" t="s">
        <v>109</v>
      </c>
      <c r="B13" s="9" t="s">
        <v>110</v>
      </c>
      <c r="C13" s="30"/>
      <c r="D13" s="30"/>
      <c r="E13" s="30">
        <f>'App A9. Data for tables'!$C$30+'App A9. Data for tables'!$C$31</f>
        <v>0</v>
      </c>
      <c r="F13" s="57">
        <f>'App A9. Data for tables'!$C$78</f>
        <v>11</v>
      </c>
      <c r="G13" s="30">
        <f t="shared" si="0"/>
        <v>0</v>
      </c>
    </row>
    <row r="14" spans="1:8" ht="18" customHeight="1" x14ac:dyDescent="0.15">
      <c r="A14" s="103" t="s">
        <v>109</v>
      </c>
      <c r="B14" s="9" t="s">
        <v>111</v>
      </c>
      <c r="C14" s="30"/>
      <c r="D14" s="30"/>
      <c r="E14" s="56">
        <f>'App A9. Data for tables'!$C$32</f>
        <v>0</v>
      </c>
      <c r="F14" s="57">
        <f>'App A9. Data for tables'!$C$78</f>
        <v>11</v>
      </c>
      <c r="G14" s="30">
        <f t="shared" si="0"/>
        <v>0</v>
      </c>
    </row>
    <row r="15" spans="1:8" ht="18" customHeight="1" x14ac:dyDescent="0.15">
      <c r="A15" s="103" t="s">
        <v>109</v>
      </c>
      <c r="B15" s="9" t="s">
        <v>112</v>
      </c>
      <c r="C15" s="56"/>
      <c r="D15" s="57"/>
      <c r="E15" s="30">
        <f>('App A9. Data for tables'!$C$33*'App A9. Data for tables'!$C$34)+('App A9. Data for tables'!$C$35*'App A9. Data for tables'!$C$36)+('App A9. Data for tables'!$C$37*'App A9. Data for tables'!$C$38)</f>
        <v>324.45</v>
      </c>
      <c r="F15" s="57">
        <f>'App A9. Data for tables'!$C$78</f>
        <v>11</v>
      </c>
      <c r="G15" s="30">
        <f t="shared" si="0"/>
        <v>3568.95</v>
      </c>
      <c r="H15" s="114"/>
    </row>
    <row r="16" spans="1:8" ht="18" customHeight="1" x14ac:dyDescent="0.15">
      <c r="A16" s="103" t="s">
        <v>109</v>
      </c>
      <c r="B16" s="9" t="s">
        <v>335</v>
      </c>
      <c r="C16" s="115"/>
      <c r="D16" s="57"/>
      <c r="E16" s="30">
        <f>('App A9. Data for tables'!$C$39*'App A9. Data for tables'!$C$40)+('App A9. Data for tables'!$C$41*'App A9. Data for tables'!$C$42)</f>
        <v>0</v>
      </c>
      <c r="F16" s="57">
        <f>'App A9. Data for tables'!$C$78</f>
        <v>11</v>
      </c>
      <c r="G16" s="30">
        <f t="shared" si="0"/>
        <v>0</v>
      </c>
      <c r="H16" s="30"/>
    </row>
    <row r="17" spans="1:16" ht="18" customHeight="1" x14ac:dyDescent="0.15">
      <c r="A17" s="103" t="s">
        <v>109</v>
      </c>
      <c r="B17" s="9" t="s">
        <v>336</v>
      </c>
      <c r="C17" s="30"/>
      <c r="D17" s="30"/>
      <c r="E17" s="56">
        <f>'App A9. Data for tables'!$C$43</f>
        <v>470</v>
      </c>
      <c r="F17" s="57">
        <f>'App A9. Data for tables'!$C$78</f>
        <v>11</v>
      </c>
      <c r="G17" s="30">
        <f t="shared" si="0"/>
        <v>5170</v>
      </c>
      <c r="H17" s="116"/>
    </row>
    <row r="18" spans="1:16" ht="18" customHeight="1" x14ac:dyDescent="0.15">
      <c r="A18" s="103" t="s">
        <v>109</v>
      </c>
      <c r="B18" s="9" t="s">
        <v>338</v>
      </c>
      <c r="C18" s="30"/>
      <c r="D18" s="57"/>
      <c r="E18" s="56">
        <f>'App A9. Data for tables'!$C$44*'App A9. Data for tables'!$C$45</f>
        <v>181.04</v>
      </c>
      <c r="F18" s="57">
        <f>'App A9. Data for tables'!$C$78</f>
        <v>11</v>
      </c>
      <c r="G18" s="30">
        <f t="shared" ref="G18" si="1">E18*F18</f>
        <v>1991.4399999999998</v>
      </c>
    </row>
    <row r="19" spans="1:16" ht="18" customHeight="1" x14ac:dyDescent="0.15">
      <c r="A19" s="103" t="s">
        <v>109</v>
      </c>
      <c r="B19" s="9" t="s">
        <v>340</v>
      </c>
      <c r="C19" s="30"/>
      <c r="D19" s="30"/>
      <c r="E19" s="56">
        <f>'App A9. Data for tables'!$C$46</f>
        <v>70</v>
      </c>
      <c r="F19" s="57">
        <f>'App A9. Data for tables'!$C$78</f>
        <v>11</v>
      </c>
      <c r="G19" s="30">
        <f t="shared" si="0"/>
        <v>770</v>
      </c>
      <c r="H19" s="105"/>
    </row>
    <row r="20" spans="1:16" ht="18" customHeight="1" x14ac:dyDescent="0.15">
      <c r="A20" s="103" t="s">
        <v>109</v>
      </c>
      <c r="B20" s="9" t="s">
        <v>341</v>
      </c>
      <c r="C20" s="30"/>
      <c r="D20" s="30"/>
      <c r="E20" s="56">
        <f>('App A9. Data for tables'!$C$47*'App A9. Data for tables'!$C$48)</f>
        <v>113.14999999999999</v>
      </c>
      <c r="F20" s="57">
        <f>'App A9. Data for tables'!$C$78</f>
        <v>11</v>
      </c>
      <c r="G20" s="30">
        <f t="shared" si="0"/>
        <v>1244.6499999999999</v>
      </c>
      <c r="H20" s="105"/>
    </row>
    <row r="21" spans="1:16" ht="18" customHeight="1" x14ac:dyDescent="0.15">
      <c r="A21" s="103" t="s">
        <v>109</v>
      </c>
      <c r="B21" s="9" t="s">
        <v>113</v>
      </c>
      <c r="C21" s="56"/>
      <c r="D21" s="70"/>
      <c r="E21" s="30">
        <f>'App A9. Data for tables'!$C$49</f>
        <v>155</v>
      </c>
      <c r="F21" s="57">
        <f>'App A9. Data for tables'!$C$78</f>
        <v>11</v>
      </c>
      <c r="G21" s="30">
        <f t="shared" si="0"/>
        <v>1705</v>
      </c>
      <c r="H21" s="116"/>
    </row>
    <row r="22" spans="1:16" ht="18" customHeight="1" x14ac:dyDescent="0.15">
      <c r="A22" s="103" t="s">
        <v>109</v>
      </c>
      <c r="B22" s="9" t="s">
        <v>114</v>
      </c>
      <c r="C22" s="30"/>
      <c r="D22" s="57"/>
      <c r="E22" s="56">
        <f>'App A9. Data for tables'!$C$50</f>
        <v>120</v>
      </c>
      <c r="F22" s="57">
        <f>'App A9. Data for tables'!$C$78</f>
        <v>11</v>
      </c>
      <c r="G22" s="30">
        <f t="shared" si="0"/>
        <v>1320</v>
      </c>
    </row>
    <row r="23" spans="1:16" ht="18" customHeight="1" x14ac:dyDescent="0.15">
      <c r="A23" s="103" t="s">
        <v>109</v>
      </c>
      <c r="B23" s="9" t="s">
        <v>342</v>
      </c>
      <c r="C23" s="30"/>
      <c r="D23" s="57"/>
      <c r="E23" s="56">
        <f>('App A9. Data for tables'!$C$51*'App A9. Data for tables'!$C$52)</f>
        <v>226.29999999999998</v>
      </c>
      <c r="F23" s="57">
        <f>'App A9. Data for tables'!$C$78</f>
        <v>11</v>
      </c>
      <c r="G23" s="30">
        <f t="shared" si="0"/>
        <v>2489.2999999999997</v>
      </c>
    </row>
    <row r="24" spans="1:16" ht="18" customHeight="1" x14ac:dyDescent="0.15">
      <c r="A24" s="103" t="s">
        <v>109</v>
      </c>
      <c r="B24" s="9" t="s">
        <v>344</v>
      </c>
      <c r="C24" s="30"/>
      <c r="D24" s="57"/>
      <c r="E24" s="56">
        <f>SUM('App A9. Data for tables'!$C$56:$C$60)</f>
        <v>250</v>
      </c>
      <c r="F24" s="57">
        <f>'App A9. Data for tables'!$C$78</f>
        <v>11</v>
      </c>
      <c r="G24" s="30">
        <f t="shared" si="0"/>
        <v>2750</v>
      </c>
    </row>
    <row r="25" spans="1:16" ht="18" customHeight="1" x14ac:dyDescent="0.15">
      <c r="A25" s="103" t="s">
        <v>109</v>
      </c>
      <c r="B25" s="9" t="s">
        <v>345</v>
      </c>
      <c r="C25" s="30"/>
      <c r="D25" s="57"/>
      <c r="E25" s="56">
        <f>'App A9. Data for tables'!$C$61</f>
        <v>180</v>
      </c>
      <c r="F25" s="57">
        <f>'App A9. Data for tables'!$C$78</f>
        <v>11</v>
      </c>
      <c r="G25" s="30">
        <f t="shared" si="0"/>
        <v>1980</v>
      </c>
      <c r="I25" s="8"/>
      <c r="J25" s="8"/>
      <c r="K25" s="8"/>
      <c r="L25" s="8"/>
      <c r="M25" s="8"/>
      <c r="N25" s="8"/>
      <c r="O25" s="8"/>
      <c r="P25" s="8"/>
    </row>
    <row r="26" spans="1:16" ht="18" customHeight="1" x14ac:dyDescent="0.15">
      <c r="A26" s="103" t="s">
        <v>109</v>
      </c>
      <c r="B26" s="9" t="s">
        <v>217</v>
      </c>
      <c r="C26" s="56"/>
      <c r="D26" s="70"/>
      <c r="E26" s="30">
        <f>'App A9. Data for tables'!$C$66</f>
        <v>100</v>
      </c>
      <c r="F26" s="57">
        <f>'App A9. Data for tables'!$C$78</f>
        <v>11</v>
      </c>
      <c r="G26" s="30">
        <f t="shared" si="0"/>
        <v>1100</v>
      </c>
      <c r="H26" s="116"/>
      <c r="I26" s="8"/>
      <c r="J26" s="8"/>
      <c r="K26" s="8"/>
      <c r="L26" s="8"/>
      <c r="M26" s="8"/>
      <c r="N26" s="8"/>
      <c r="O26" s="8"/>
      <c r="P26" s="8"/>
    </row>
    <row r="27" spans="1:16" ht="18" customHeight="1" x14ac:dyDescent="0.15">
      <c r="A27" s="103" t="s">
        <v>109</v>
      </c>
      <c r="B27" s="9" t="s">
        <v>28</v>
      </c>
      <c r="C27" s="30"/>
      <c r="D27" s="57"/>
      <c r="E27" s="56">
        <f>'App A9. Data for tables'!$C$67</f>
        <v>190</v>
      </c>
      <c r="F27" s="57">
        <f>'App A9. Data for tables'!$C$78</f>
        <v>11</v>
      </c>
      <c r="G27" s="30">
        <f t="shared" si="0"/>
        <v>2090</v>
      </c>
      <c r="I27" s="8"/>
      <c r="J27" s="8"/>
      <c r="K27" s="8"/>
      <c r="L27" s="8"/>
      <c r="M27" s="8"/>
      <c r="N27" s="8"/>
      <c r="O27" s="8"/>
      <c r="P27" s="8"/>
    </row>
    <row r="28" spans="1:16" ht="18" customHeight="1" x14ac:dyDescent="0.15">
      <c r="A28" s="103" t="s">
        <v>109</v>
      </c>
      <c r="B28" s="9" t="s">
        <v>29</v>
      </c>
      <c r="C28" s="30"/>
      <c r="D28" s="57"/>
      <c r="E28" s="56">
        <f>'App A9. Data for tables'!$C$69</f>
        <v>120</v>
      </c>
      <c r="F28" s="57">
        <f>'App A9. Data for tables'!$C$78</f>
        <v>11</v>
      </c>
      <c r="G28" s="30">
        <f t="shared" si="0"/>
        <v>1320</v>
      </c>
      <c r="H28" s="114"/>
      <c r="I28" s="8"/>
      <c r="J28" s="8"/>
      <c r="K28" s="8"/>
      <c r="L28" s="8"/>
      <c r="M28" s="8"/>
      <c r="N28" s="8"/>
      <c r="O28" s="8"/>
      <c r="P28" s="8"/>
    </row>
    <row r="29" spans="1:16" ht="18" customHeight="1" x14ac:dyDescent="0.15">
      <c r="A29" s="103" t="s">
        <v>109</v>
      </c>
      <c r="B29" s="9" t="s">
        <v>348</v>
      </c>
      <c r="C29" s="30"/>
      <c r="D29" s="57"/>
      <c r="E29" s="56">
        <f>'App A9. Data for tables'!$C$70+'App A9. Data for tables'!$C$71</f>
        <v>425</v>
      </c>
      <c r="F29" s="57">
        <f>'App A9. Data for tables'!$C$78</f>
        <v>11</v>
      </c>
      <c r="G29" s="30">
        <f t="shared" si="0"/>
        <v>4675</v>
      </c>
      <c r="I29" s="8"/>
      <c r="J29" s="8"/>
      <c r="K29" s="8"/>
      <c r="L29" s="8"/>
      <c r="M29" s="8"/>
      <c r="N29" s="8"/>
      <c r="O29" s="8"/>
      <c r="P29" s="8"/>
    </row>
    <row r="30" spans="1:16" ht="18" customHeight="1" x14ac:dyDescent="0.15">
      <c r="A30" s="103" t="s">
        <v>109</v>
      </c>
      <c r="B30" s="9" t="s">
        <v>118</v>
      </c>
      <c r="C30" s="30"/>
      <c r="D30" s="57"/>
      <c r="E30" s="56">
        <f>'App A9. Data for tables'!$C$72</f>
        <v>700</v>
      </c>
      <c r="F30" s="57">
        <f>'App A9. Data for tables'!$C$78</f>
        <v>11</v>
      </c>
      <c r="G30" s="30">
        <f t="shared" si="0"/>
        <v>7700</v>
      </c>
      <c r="I30" s="8"/>
      <c r="J30" s="8"/>
      <c r="K30" s="8"/>
      <c r="L30" s="8"/>
      <c r="M30" s="8"/>
      <c r="N30" s="8"/>
      <c r="O30" s="8"/>
      <c r="P30" s="8"/>
    </row>
    <row r="31" spans="1:16" ht="36" customHeight="1" x14ac:dyDescent="0.15">
      <c r="A31" s="8" t="s">
        <v>16</v>
      </c>
      <c r="B31" s="9" t="s">
        <v>112</v>
      </c>
      <c r="C31" s="56"/>
      <c r="D31" s="57"/>
      <c r="E31" s="30">
        <f>('App A9. Data for tables'!$D$33*'App A9. Data for tables'!$D$34)+('App A9. Data for tables'!$D$35*'App A9. Data for tables'!$D$36)+('App A9. Data for tables'!$D$37*'App A9. Data for tables'!$D$38)</f>
        <v>540.75</v>
      </c>
      <c r="F31" s="57">
        <f>'App A9. Data for tables'!$D$78</f>
        <v>11</v>
      </c>
      <c r="G31" s="30">
        <f t="shared" si="0"/>
        <v>5948.25</v>
      </c>
      <c r="H31" s="30"/>
      <c r="I31" s="58"/>
      <c r="J31" s="34"/>
      <c r="K31" s="59"/>
      <c r="L31" s="58"/>
      <c r="M31" s="34"/>
      <c r="N31" s="59"/>
      <c r="O31" s="58"/>
      <c r="P31" s="34"/>
    </row>
    <row r="32" spans="1:16" ht="18" customHeight="1" x14ac:dyDescent="0.15">
      <c r="A32" s="8" t="s">
        <v>16</v>
      </c>
      <c r="B32" s="9" t="s">
        <v>335</v>
      </c>
      <c r="C32" s="115"/>
      <c r="D32" s="57"/>
      <c r="E32" s="30">
        <f>('App A9. Data for tables'!$D$39*'App A9. Data for tables'!$D$40)+('App A9. Data for tables'!$D$41*'App A9. Data for tables'!$D$42)</f>
        <v>0</v>
      </c>
      <c r="F32" s="57">
        <f>'App A9. Data for tables'!$D$78</f>
        <v>11</v>
      </c>
      <c r="G32" s="30">
        <f t="shared" ref="G32:G46" si="2">E32*F32</f>
        <v>0</v>
      </c>
      <c r="H32" s="30"/>
      <c r="I32" s="8"/>
      <c r="J32" s="8"/>
      <c r="K32" s="8"/>
      <c r="L32" s="8"/>
      <c r="M32" s="8"/>
      <c r="N32" s="8"/>
      <c r="O32" s="8"/>
      <c r="P32" s="8"/>
    </row>
    <row r="33" spans="1:16" ht="18" customHeight="1" x14ac:dyDescent="0.15">
      <c r="A33" s="8" t="s">
        <v>16</v>
      </c>
      <c r="B33" s="9" t="s">
        <v>336</v>
      </c>
      <c r="C33" s="30"/>
      <c r="D33" s="30"/>
      <c r="E33" s="56">
        <f>'App A9. Data for tables'!$D$43</f>
        <v>840</v>
      </c>
      <c r="F33" s="57">
        <f>'App A9. Data for tables'!$D$78</f>
        <v>11</v>
      </c>
      <c r="G33" s="30">
        <f t="shared" si="2"/>
        <v>9240</v>
      </c>
      <c r="H33" s="105"/>
      <c r="I33" s="8"/>
      <c r="J33" s="59"/>
      <c r="K33" s="8"/>
      <c r="L33" s="8"/>
      <c r="M33" s="59"/>
      <c r="N33" s="8"/>
      <c r="O33" s="8"/>
      <c r="P33" s="59"/>
    </row>
    <row r="34" spans="1:16" ht="18" customHeight="1" x14ac:dyDescent="0.15">
      <c r="A34" s="8" t="s">
        <v>16</v>
      </c>
      <c r="B34" s="9" t="s">
        <v>338</v>
      </c>
      <c r="C34" s="30"/>
      <c r="D34" s="57"/>
      <c r="E34" s="56">
        <f>'App A9. Data for tables'!$D$44*'App A9. Data for tables'!$D$45</f>
        <v>181.04</v>
      </c>
      <c r="F34" s="57">
        <f>'App A9. Data for tables'!$C$78</f>
        <v>11</v>
      </c>
      <c r="G34" s="30">
        <f t="shared" si="2"/>
        <v>1991.4399999999998</v>
      </c>
    </row>
    <row r="35" spans="1:16" ht="18" customHeight="1" x14ac:dyDescent="0.15">
      <c r="A35" s="8" t="s">
        <v>16</v>
      </c>
      <c r="B35" s="9" t="s">
        <v>340</v>
      </c>
      <c r="C35" s="30"/>
      <c r="D35" s="30"/>
      <c r="E35" s="56">
        <f>'App A9. Data for tables'!$D$46</f>
        <v>140</v>
      </c>
      <c r="F35" s="57">
        <f>'App A9. Data for tables'!$D$78</f>
        <v>11</v>
      </c>
      <c r="G35" s="30">
        <f t="shared" si="2"/>
        <v>1540</v>
      </c>
      <c r="H35" s="105"/>
      <c r="I35" s="8"/>
      <c r="J35" s="59"/>
      <c r="K35" s="8"/>
      <c r="L35" s="8"/>
      <c r="M35" s="59"/>
      <c r="N35" s="8"/>
      <c r="O35" s="8"/>
      <c r="P35" s="59"/>
    </row>
    <row r="36" spans="1:16" ht="18" customHeight="1" x14ac:dyDescent="0.15">
      <c r="A36" s="8" t="s">
        <v>16</v>
      </c>
      <c r="B36" s="9" t="s">
        <v>341</v>
      </c>
      <c r="C36" s="30"/>
      <c r="D36" s="30"/>
      <c r="E36" s="56">
        <f>('App A9. Data for tables'!$D$47*'App A9. Data for tables'!$D$48)</f>
        <v>113.14999999999999</v>
      </c>
      <c r="F36" s="57">
        <f>'App A9. Data for tables'!$D$78</f>
        <v>11</v>
      </c>
      <c r="G36" s="30">
        <f t="shared" si="2"/>
        <v>1244.6499999999999</v>
      </c>
      <c r="H36" s="105"/>
      <c r="I36" s="8"/>
      <c r="J36" s="59"/>
      <c r="K36" s="8"/>
      <c r="L36" s="8"/>
      <c r="M36" s="59"/>
      <c r="N36" s="8"/>
      <c r="O36" s="8"/>
      <c r="P36" s="59"/>
    </row>
    <row r="37" spans="1:16" ht="18" customHeight="1" x14ac:dyDescent="0.15">
      <c r="A37" s="8" t="s">
        <v>16</v>
      </c>
      <c r="B37" s="9" t="s">
        <v>113</v>
      </c>
      <c r="C37" s="56"/>
      <c r="D37" s="70"/>
      <c r="E37" s="30">
        <f>'App A9. Data for tables'!$D$49</f>
        <v>155</v>
      </c>
      <c r="F37" s="57">
        <f>'App A9. Data for tables'!$D$78</f>
        <v>11</v>
      </c>
      <c r="G37" s="30">
        <f t="shared" si="2"/>
        <v>1705</v>
      </c>
      <c r="I37" s="8"/>
      <c r="J37" s="8"/>
      <c r="K37" s="8"/>
      <c r="L37" s="8"/>
      <c r="M37" s="8"/>
      <c r="N37" s="117"/>
      <c r="O37" s="58"/>
      <c r="P37" s="34"/>
    </row>
    <row r="38" spans="1:16" ht="18" customHeight="1" x14ac:dyDescent="0.15">
      <c r="A38" s="8" t="s">
        <v>16</v>
      </c>
      <c r="B38" s="9" t="s">
        <v>114</v>
      </c>
      <c r="C38" s="30"/>
      <c r="D38" s="57"/>
      <c r="E38" s="56">
        <f>'App A9. Data for tables'!$D$50</f>
        <v>120</v>
      </c>
      <c r="F38" s="57">
        <f>'App A9. Data for tables'!$D$78</f>
        <v>11</v>
      </c>
      <c r="G38" s="30">
        <f t="shared" si="2"/>
        <v>1320</v>
      </c>
      <c r="I38" s="8"/>
      <c r="J38" s="8"/>
      <c r="K38" s="8"/>
      <c r="L38" s="8"/>
      <c r="M38" s="8"/>
      <c r="N38" s="8"/>
      <c r="O38" s="8"/>
      <c r="P38" s="8"/>
    </row>
    <row r="39" spans="1:16" ht="18" customHeight="1" x14ac:dyDescent="0.15">
      <c r="A39" s="8" t="s">
        <v>16</v>
      </c>
      <c r="B39" s="9" t="s">
        <v>342</v>
      </c>
      <c r="C39" s="30"/>
      <c r="D39" s="57"/>
      <c r="E39" s="56">
        <f>('App A9. Data for tables'!$D$51*'App A9. Data for tables'!$D$52)</f>
        <v>226.29999999999998</v>
      </c>
      <c r="F39" s="57">
        <f>'App A9. Data for tables'!$D$78</f>
        <v>11</v>
      </c>
      <c r="G39" s="30">
        <f t="shared" si="2"/>
        <v>2489.2999999999997</v>
      </c>
      <c r="I39" s="8"/>
      <c r="J39" s="8"/>
      <c r="K39" s="8"/>
      <c r="L39" s="8"/>
      <c r="M39" s="8"/>
      <c r="N39" s="8"/>
      <c r="O39" s="8"/>
      <c r="P39" s="8"/>
    </row>
    <row r="40" spans="1:16" ht="18" customHeight="1" x14ac:dyDescent="0.15">
      <c r="A40" s="8" t="s">
        <v>16</v>
      </c>
      <c r="B40" s="9" t="s">
        <v>344</v>
      </c>
      <c r="C40" s="30"/>
      <c r="D40" s="57"/>
      <c r="E40" s="56">
        <f>SUM('App A9. Data for tables'!$D$56:$D$60)</f>
        <v>250</v>
      </c>
      <c r="F40" s="57">
        <f>'App A9. Data for tables'!$D$78</f>
        <v>11</v>
      </c>
      <c r="G40" s="30">
        <f t="shared" si="2"/>
        <v>2750</v>
      </c>
      <c r="I40" s="8"/>
      <c r="J40" s="8"/>
      <c r="K40" s="8"/>
      <c r="L40" s="8"/>
      <c r="M40" s="8"/>
      <c r="N40" s="8"/>
      <c r="O40" s="8"/>
      <c r="P40" s="59"/>
    </row>
    <row r="41" spans="1:16" ht="18" customHeight="1" x14ac:dyDescent="0.15">
      <c r="A41" s="8" t="s">
        <v>16</v>
      </c>
      <c r="B41" s="9" t="s">
        <v>345</v>
      </c>
      <c r="C41" s="30"/>
      <c r="D41" s="57"/>
      <c r="E41" s="56">
        <f>'App A9. Data for tables'!$D$61</f>
        <v>135</v>
      </c>
      <c r="F41" s="57">
        <f>'App A9. Data for tables'!$D$78</f>
        <v>11</v>
      </c>
      <c r="G41" s="30">
        <f t="shared" si="2"/>
        <v>1485</v>
      </c>
      <c r="I41" s="8"/>
      <c r="J41" s="8"/>
      <c r="K41" s="8"/>
      <c r="L41" s="8"/>
      <c r="M41" s="8"/>
      <c r="N41" s="8"/>
      <c r="O41" s="8"/>
      <c r="P41" s="59"/>
    </row>
    <row r="42" spans="1:16" ht="18" customHeight="1" x14ac:dyDescent="0.15">
      <c r="A42" s="8" t="s">
        <v>16</v>
      </c>
      <c r="B42" s="9" t="s">
        <v>217</v>
      </c>
      <c r="C42" s="56"/>
      <c r="D42" s="70"/>
      <c r="E42" s="30">
        <f>'App A9. Data for tables'!$D$66</f>
        <v>100</v>
      </c>
      <c r="F42" s="57">
        <f>'App A9. Data for tables'!$D$78</f>
        <v>11</v>
      </c>
      <c r="G42" s="30">
        <f t="shared" si="2"/>
        <v>1100</v>
      </c>
      <c r="I42" s="8"/>
      <c r="J42" s="8"/>
      <c r="K42" s="8"/>
      <c r="L42" s="8"/>
      <c r="M42" s="8"/>
      <c r="N42" s="117"/>
      <c r="O42" s="58"/>
      <c r="P42" s="34"/>
    </row>
    <row r="43" spans="1:16" ht="18" customHeight="1" x14ac:dyDescent="0.15">
      <c r="A43" s="8" t="s">
        <v>16</v>
      </c>
      <c r="B43" s="9" t="s">
        <v>28</v>
      </c>
      <c r="C43" s="30"/>
      <c r="D43" s="57"/>
      <c r="E43" s="56">
        <f>'App A9. Data for tables'!$D$67</f>
        <v>190</v>
      </c>
      <c r="F43" s="57">
        <f>'App A9. Data for tables'!$D$78</f>
        <v>11</v>
      </c>
      <c r="G43" s="30">
        <f t="shared" si="2"/>
        <v>2090</v>
      </c>
      <c r="I43" s="8"/>
      <c r="J43" s="8"/>
      <c r="K43" s="8"/>
      <c r="L43" s="8"/>
      <c r="M43" s="8"/>
      <c r="N43" s="8"/>
      <c r="O43" s="8"/>
      <c r="P43" s="8"/>
    </row>
    <row r="44" spans="1:16" ht="18" customHeight="1" x14ac:dyDescent="0.15">
      <c r="A44" s="8" t="s">
        <v>16</v>
      </c>
      <c r="B44" s="9" t="s">
        <v>29</v>
      </c>
      <c r="C44" s="30"/>
      <c r="D44" s="57"/>
      <c r="E44" s="56">
        <f>'App A9. Data for tables'!$D$69</f>
        <v>120</v>
      </c>
      <c r="F44" s="57">
        <f>'App A9. Data for tables'!$D$78</f>
        <v>11</v>
      </c>
      <c r="G44" s="30">
        <f t="shared" si="2"/>
        <v>1320</v>
      </c>
      <c r="I44" s="8"/>
      <c r="J44" s="8"/>
      <c r="K44" s="8"/>
      <c r="L44" s="8"/>
      <c r="M44" s="8"/>
      <c r="N44" s="8"/>
      <c r="O44" s="8"/>
      <c r="P44" s="8"/>
    </row>
    <row r="45" spans="1:16" ht="18" customHeight="1" x14ac:dyDescent="0.15">
      <c r="A45" s="8" t="s">
        <v>16</v>
      </c>
      <c r="B45" s="9" t="s">
        <v>348</v>
      </c>
      <c r="C45" s="30"/>
      <c r="D45" s="57"/>
      <c r="E45" s="56">
        <f>'App A9. Data for tables'!$D$70+'App A9. Data for tables'!$D$71</f>
        <v>425</v>
      </c>
      <c r="F45" s="57">
        <f>'App A9. Data for tables'!$D$78</f>
        <v>11</v>
      </c>
      <c r="G45" s="30">
        <f t="shared" si="2"/>
        <v>4675</v>
      </c>
      <c r="I45" s="8"/>
      <c r="J45" s="8"/>
      <c r="K45" s="8"/>
      <c r="L45" s="8"/>
      <c r="M45" s="8"/>
      <c r="N45" s="8"/>
      <c r="O45" s="8"/>
      <c r="P45" s="8"/>
    </row>
    <row r="46" spans="1:16" ht="18" customHeight="1" x14ac:dyDescent="0.15">
      <c r="A46" s="8" t="s">
        <v>16</v>
      </c>
      <c r="B46" s="9" t="s">
        <v>118</v>
      </c>
      <c r="C46" s="30"/>
      <c r="D46" s="57"/>
      <c r="E46" s="56">
        <f>'App A9. Data for tables'!$D$72</f>
        <v>700</v>
      </c>
      <c r="F46" s="57">
        <f>'App A9. Data for tables'!$D$78</f>
        <v>11</v>
      </c>
      <c r="G46" s="30">
        <f t="shared" si="2"/>
        <v>7700</v>
      </c>
      <c r="I46" s="8"/>
      <c r="J46" s="8"/>
      <c r="K46" s="8"/>
      <c r="L46" s="8"/>
      <c r="M46" s="8"/>
      <c r="N46" s="8"/>
      <c r="O46" s="8"/>
      <c r="P46" s="8"/>
    </row>
    <row r="47" spans="1:16" ht="36" customHeight="1" x14ac:dyDescent="0.15">
      <c r="A47" s="8" t="s">
        <v>17</v>
      </c>
      <c r="B47" s="9" t="s">
        <v>112</v>
      </c>
      <c r="C47" s="56"/>
      <c r="D47" s="57"/>
      <c r="E47" s="30">
        <f>('App A9. Data for tables'!$E$33*'App A9. Data for tables'!$E$34)+('App A9. Data for tables'!$E$35*'App A9. Data for tables'!$E$36)+('App A9. Data for tables'!$E$37*'App A9. Data for tables'!$E$38)</f>
        <v>886.82999999999993</v>
      </c>
      <c r="F47" s="57">
        <f>'App A9. Data for tables'!$E$78</f>
        <v>11</v>
      </c>
      <c r="G47" s="30">
        <f t="shared" ref="G47:G63" si="3">E47*F47</f>
        <v>9755.1299999999992</v>
      </c>
      <c r="H47" s="30"/>
      <c r="I47" s="8"/>
      <c r="J47" s="8"/>
      <c r="K47" s="8"/>
      <c r="L47" s="8"/>
      <c r="M47" s="8"/>
      <c r="N47" s="8"/>
      <c r="O47" s="8"/>
      <c r="P47" s="8"/>
    </row>
    <row r="48" spans="1:16" ht="18" customHeight="1" x14ac:dyDescent="0.15">
      <c r="A48" s="8" t="s">
        <v>17</v>
      </c>
      <c r="B48" s="9" t="s">
        <v>335</v>
      </c>
      <c r="C48" s="115"/>
      <c r="D48" s="57"/>
      <c r="E48" s="30">
        <f>('App A9. Data for tables'!$E$39*'App A9. Data for tables'!$E$40)+('App A9. Data for tables'!$E$41*'App A9. Data for tables'!$E$42)</f>
        <v>0</v>
      </c>
      <c r="F48" s="57">
        <f>'App A9. Data for tables'!$E$78</f>
        <v>11</v>
      </c>
      <c r="G48" s="30">
        <f t="shared" si="3"/>
        <v>0</v>
      </c>
      <c r="H48" s="30"/>
      <c r="I48" s="8"/>
      <c r="J48" s="8"/>
      <c r="K48" s="8"/>
      <c r="L48" s="8"/>
      <c r="M48" s="8"/>
      <c r="N48" s="8"/>
      <c r="O48" s="8"/>
      <c r="P48" s="8"/>
    </row>
    <row r="49" spans="1:16" ht="18" customHeight="1" x14ac:dyDescent="0.15">
      <c r="A49" s="8" t="s">
        <v>17</v>
      </c>
      <c r="B49" s="9" t="s">
        <v>336</v>
      </c>
      <c r="C49" s="30"/>
      <c r="D49" s="30"/>
      <c r="E49" s="56">
        <f>'App A9. Data for tables'!$E$43</f>
        <v>1270</v>
      </c>
      <c r="F49" s="57">
        <f>'App A9. Data for tables'!$E$78</f>
        <v>11</v>
      </c>
      <c r="G49" s="30">
        <f t="shared" si="3"/>
        <v>13970</v>
      </c>
      <c r="I49" s="8"/>
      <c r="J49" s="8"/>
      <c r="K49" s="8"/>
      <c r="L49" s="8"/>
      <c r="M49" s="8"/>
      <c r="N49" s="8"/>
      <c r="O49" s="8"/>
      <c r="P49" s="8"/>
    </row>
    <row r="50" spans="1:16" ht="18" customHeight="1" x14ac:dyDescent="0.15">
      <c r="A50" s="8" t="s">
        <v>17</v>
      </c>
      <c r="B50" s="9" t="s">
        <v>338</v>
      </c>
      <c r="C50" s="30"/>
      <c r="D50" s="30"/>
      <c r="E50" s="56">
        <f>('App A9. Data for tables'!$E$44*'App A9. Data for tables'!$E$45)</f>
        <v>294.19</v>
      </c>
      <c r="F50" s="57">
        <f>'App A9. Data for tables'!$E$78</f>
        <v>11</v>
      </c>
      <c r="G50" s="30">
        <f t="shared" si="3"/>
        <v>3236.09</v>
      </c>
      <c r="I50" s="8"/>
      <c r="J50" s="8"/>
      <c r="K50" s="8"/>
      <c r="L50" s="8"/>
      <c r="M50" s="8"/>
      <c r="N50" s="8"/>
      <c r="O50" s="8"/>
      <c r="P50" s="8"/>
    </row>
    <row r="51" spans="1:16" ht="18" customHeight="1" x14ac:dyDescent="0.15">
      <c r="A51" s="8" t="s">
        <v>17</v>
      </c>
      <c r="B51" s="9" t="s">
        <v>340</v>
      </c>
      <c r="C51" s="30"/>
      <c r="D51" s="30"/>
      <c r="E51" s="56">
        <f>'App A9. Data for tables'!$E$46</f>
        <v>210</v>
      </c>
      <c r="F51" s="57">
        <f>'App A9. Data for tables'!$E$78</f>
        <v>11</v>
      </c>
      <c r="G51" s="30">
        <f t="shared" si="3"/>
        <v>2310</v>
      </c>
      <c r="H51" s="105"/>
      <c r="I51" s="8"/>
      <c r="J51" s="59"/>
      <c r="K51" s="8"/>
      <c r="L51" s="8"/>
      <c r="M51" s="59"/>
      <c r="N51" s="8"/>
      <c r="O51" s="8"/>
      <c r="P51" s="59"/>
    </row>
    <row r="52" spans="1:16" ht="18" customHeight="1" x14ac:dyDescent="0.15">
      <c r="A52" s="8" t="s">
        <v>17</v>
      </c>
      <c r="B52" s="9" t="s">
        <v>341</v>
      </c>
      <c r="C52" s="30"/>
      <c r="D52" s="30"/>
      <c r="E52" s="56">
        <f>('App A9. Data for tables'!$E$47*'App A9. Data for tables'!$E$48)</f>
        <v>113.14999999999999</v>
      </c>
      <c r="F52" s="57">
        <f>'App A9. Data for tables'!$E$78</f>
        <v>11</v>
      </c>
      <c r="G52" s="30">
        <f t="shared" si="3"/>
        <v>1244.6499999999999</v>
      </c>
      <c r="H52" s="105"/>
      <c r="I52" s="8"/>
      <c r="J52" s="59"/>
      <c r="K52" s="8"/>
      <c r="L52" s="8"/>
      <c r="M52" s="59"/>
      <c r="N52" s="8"/>
      <c r="O52" s="8"/>
      <c r="P52" s="59"/>
    </row>
    <row r="53" spans="1:16" ht="18" customHeight="1" x14ac:dyDescent="0.15">
      <c r="A53" s="8" t="s">
        <v>17</v>
      </c>
      <c r="B53" s="9" t="s">
        <v>113</v>
      </c>
      <c r="C53" s="56"/>
      <c r="D53" s="70"/>
      <c r="E53" s="30">
        <f>'App A9. Data for tables'!$E$49</f>
        <v>155</v>
      </c>
      <c r="F53" s="57">
        <f>'App A9. Data for tables'!$E$78</f>
        <v>11</v>
      </c>
      <c r="G53" s="30">
        <f t="shared" si="3"/>
        <v>1705</v>
      </c>
      <c r="I53" s="8"/>
      <c r="J53" s="8"/>
      <c r="K53" s="8"/>
      <c r="L53" s="8"/>
      <c r="M53" s="8"/>
      <c r="N53" s="8"/>
      <c r="O53" s="8"/>
      <c r="P53" s="8"/>
    </row>
    <row r="54" spans="1:16" ht="18" customHeight="1" x14ac:dyDescent="0.15">
      <c r="A54" s="8" t="s">
        <v>17</v>
      </c>
      <c r="B54" s="9" t="s">
        <v>114</v>
      </c>
      <c r="C54" s="30"/>
      <c r="D54" s="30"/>
      <c r="E54" s="56">
        <f>'App A9. Data for tables'!$E$50</f>
        <v>120</v>
      </c>
      <c r="F54" s="57">
        <f>'App A9. Data for tables'!$E$78</f>
        <v>11</v>
      </c>
      <c r="G54" s="30">
        <f t="shared" si="3"/>
        <v>1320</v>
      </c>
      <c r="I54" s="8"/>
      <c r="J54" s="8"/>
      <c r="K54" s="8"/>
      <c r="L54" s="8"/>
      <c r="M54" s="8"/>
      <c r="N54" s="8"/>
      <c r="O54" s="8"/>
      <c r="P54" s="8"/>
    </row>
    <row r="55" spans="1:16" ht="18" customHeight="1" x14ac:dyDescent="0.15">
      <c r="A55" s="8" t="s">
        <v>17</v>
      </c>
      <c r="B55" s="9" t="s">
        <v>342</v>
      </c>
      <c r="C55" s="30"/>
      <c r="D55" s="30"/>
      <c r="E55" s="56">
        <f>('App A9. Data for tables'!$E$51*'App A9. Data for tables'!$E$52)</f>
        <v>226.29999999999998</v>
      </c>
      <c r="F55" s="57">
        <f>'App A9. Data for tables'!$E$78</f>
        <v>11</v>
      </c>
      <c r="G55" s="30">
        <f t="shared" si="3"/>
        <v>2489.2999999999997</v>
      </c>
      <c r="I55" s="8"/>
      <c r="J55" s="8"/>
      <c r="K55" s="8"/>
      <c r="L55" s="8"/>
      <c r="M55" s="8"/>
      <c r="N55" s="8"/>
      <c r="O55" s="8"/>
      <c r="P55" s="8"/>
    </row>
    <row r="56" spans="1:16" ht="18" customHeight="1" x14ac:dyDescent="0.15">
      <c r="A56" s="8" t="s">
        <v>17</v>
      </c>
      <c r="B56" s="9" t="s">
        <v>344</v>
      </c>
      <c r="C56" s="30"/>
      <c r="D56" s="30"/>
      <c r="E56" s="56">
        <f>SUM('App A9. Data for tables'!$E$56:$E$60)</f>
        <v>250</v>
      </c>
      <c r="F56" s="57">
        <f>'App A9. Data for tables'!$E$78</f>
        <v>11</v>
      </c>
      <c r="G56" s="30">
        <f t="shared" si="3"/>
        <v>2750</v>
      </c>
      <c r="I56" s="8"/>
      <c r="J56" s="8"/>
      <c r="K56" s="8"/>
      <c r="L56" s="8"/>
      <c r="M56" s="8"/>
      <c r="N56" s="8"/>
      <c r="O56" s="8"/>
      <c r="P56" s="8"/>
    </row>
    <row r="57" spans="1:16" ht="18" customHeight="1" x14ac:dyDescent="0.15">
      <c r="A57" s="8" t="s">
        <v>17</v>
      </c>
      <c r="B57" s="9" t="s">
        <v>345</v>
      </c>
      <c r="C57" s="30"/>
      <c r="D57" s="30"/>
      <c r="E57" s="56">
        <f>'App A9. Data for tables'!$E$61</f>
        <v>140</v>
      </c>
      <c r="F57" s="57">
        <f>'App A9. Data for tables'!$E$78</f>
        <v>11</v>
      </c>
      <c r="G57" s="30">
        <f t="shared" si="3"/>
        <v>1540</v>
      </c>
      <c r="I57" s="8"/>
      <c r="J57" s="8"/>
      <c r="K57" s="8"/>
      <c r="L57" s="8"/>
      <c r="M57" s="8"/>
      <c r="N57" s="8"/>
      <c r="O57" s="8"/>
      <c r="P57" s="8"/>
    </row>
    <row r="58" spans="1:16" ht="18" customHeight="1" x14ac:dyDescent="0.15">
      <c r="A58" s="8" t="s">
        <v>17</v>
      </c>
      <c r="B58" s="9" t="s">
        <v>217</v>
      </c>
      <c r="C58" s="56"/>
      <c r="D58" s="70"/>
      <c r="E58" s="30">
        <f>'App A9. Data for tables'!$E$66</f>
        <v>100</v>
      </c>
      <c r="F58" s="57">
        <f>'App A9. Data for tables'!$E$78</f>
        <v>11</v>
      </c>
      <c r="G58" s="30">
        <f t="shared" si="3"/>
        <v>1100</v>
      </c>
      <c r="I58" s="8"/>
      <c r="J58" s="8"/>
      <c r="K58" s="8"/>
      <c r="L58" s="8"/>
      <c r="M58" s="8"/>
      <c r="N58" s="8"/>
      <c r="O58" s="8"/>
      <c r="P58" s="8"/>
    </row>
    <row r="59" spans="1:16" ht="18" customHeight="1" x14ac:dyDescent="0.15">
      <c r="A59" s="8" t="s">
        <v>17</v>
      </c>
      <c r="B59" s="9" t="s">
        <v>28</v>
      </c>
      <c r="C59" s="30"/>
      <c r="D59" s="57"/>
      <c r="E59" s="56">
        <f>'App A9. Data for tables'!$E$67</f>
        <v>190</v>
      </c>
      <c r="F59" s="57">
        <f>'App A9. Data for tables'!$E$78</f>
        <v>11</v>
      </c>
      <c r="G59" s="30">
        <f t="shared" si="3"/>
        <v>2090</v>
      </c>
      <c r="I59" s="8"/>
      <c r="J59" s="8"/>
      <c r="K59" s="8"/>
      <c r="L59" s="8"/>
      <c r="M59" s="8"/>
      <c r="N59" s="8"/>
      <c r="O59" s="8"/>
      <c r="P59" s="8"/>
    </row>
    <row r="60" spans="1:16" ht="18" customHeight="1" x14ac:dyDescent="0.15">
      <c r="A60" s="8" t="s">
        <v>17</v>
      </c>
      <c r="B60" s="9" t="s">
        <v>29</v>
      </c>
      <c r="C60" s="30"/>
      <c r="D60" s="30"/>
      <c r="E60" s="56">
        <f>'App A9. Data for tables'!$E$69</f>
        <v>120</v>
      </c>
      <c r="F60" s="57">
        <f>'App A9. Data for tables'!$E$78</f>
        <v>11</v>
      </c>
      <c r="G60" s="30">
        <f t="shared" si="3"/>
        <v>1320</v>
      </c>
      <c r="I60" s="8"/>
      <c r="J60" s="8"/>
      <c r="K60" s="8"/>
      <c r="L60" s="8"/>
      <c r="M60" s="8"/>
      <c r="N60" s="8"/>
      <c r="O60" s="8"/>
      <c r="P60" s="8"/>
    </row>
    <row r="61" spans="1:16" ht="18" customHeight="1" x14ac:dyDescent="0.15">
      <c r="A61" s="8" t="s">
        <v>17</v>
      </c>
      <c r="B61" s="9" t="s">
        <v>348</v>
      </c>
      <c r="C61" s="30"/>
      <c r="D61" s="30"/>
      <c r="E61" s="56">
        <f>'App A9. Data for tables'!$E$70+'App A9. Data for tables'!$E$71</f>
        <v>425</v>
      </c>
      <c r="F61" s="57">
        <f>'App A9. Data for tables'!$E$78</f>
        <v>11</v>
      </c>
      <c r="G61" s="30">
        <f t="shared" si="3"/>
        <v>4675</v>
      </c>
      <c r="I61" s="8"/>
      <c r="J61" s="8"/>
      <c r="K61" s="8"/>
      <c r="L61" s="8"/>
      <c r="M61" s="8"/>
      <c r="N61" s="8"/>
      <c r="O61" s="8"/>
      <c r="P61" s="8"/>
    </row>
    <row r="62" spans="1:16" ht="18" customHeight="1" x14ac:dyDescent="0.15">
      <c r="A62" s="8" t="s">
        <v>17</v>
      </c>
      <c r="B62" s="9" t="s">
        <v>118</v>
      </c>
      <c r="C62" s="30"/>
      <c r="D62" s="30"/>
      <c r="E62" s="56">
        <f>'App A9. Data for tables'!$E$72</f>
        <v>700</v>
      </c>
      <c r="F62" s="57">
        <f>'App A9. Data for tables'!$E$78</f>
        <v>11</v>
      </c>
      <c r="G62" s="30">
        <f t="shared" si="3"/>
        <v>7700</v>
      </c>
      <c r="I62" s="8"/>
      <c r="J62" s="8"/>
      <c r="K62" s="8"/>
      <c r="L62" s="8"/>
      <c r="M62" s="8"/>
      <c r="N62" s="8"/>
      <c r="O62" s="8"/>
      <c r="P62" s="8"/>
    </row>
    <row r="63" spans="1:16" ht="36" customHeight="1" x14ac:dyDescent="0.15">
      <c r="A63" s="8" t="s">
        <v>18</v>
      </c>
      <c r="B63" s="9" t="s">
        <v>370</v>
      </c>
      <c r="C63" s="30"/>
      <c r="D63" s="30"/>
      <c r="E63" s="56">
        <f>'App A9. Data for tables'!$F$23</f>
        <v>0</v>
      </c>
      <c r="F63" s="57">
        <f>'App A9. Data for tables'!$F$78</f>
        <v>11</v>
      </c>
      <c r="G63" s="30">
        <f t="shared" si="3"/>
        <v>0</v>
      </c>
      <c r="I63" s="8"/>
      <c r="J63" s="8"/>
      <c r="K63" s="8"/>
      <c r="L63" s="8"/>
      <c r="M63" s="8"/>
      <c r="N63" s="8"/>
      <c r="O63" s="8"/>
      <c r="P63" s="8"/>
    </row>
    <row r="64" spans="1:16" ht="18" customHeight="1" x14ac:dyDescent="0.15">
      <c r="A64" s="8" t="s">
        <v>18</v>
      </c>
      <c r="B64" s="9" t="s">
        <v>371</v>
      </c>
      <c r="C64" s="30"/>
      <c r="D64" s="30"/>
      <c r="E64" s="56">
        <f>'App A9. Data for tables'!$F$24</f>
        <v>0</v>
      </c>
      <c r="F64" s="57">
        <f>'App A9. Data for tables'!$F$78</f>
        <v>11</v>
      </c>
      <c r="G64" s="30">
        <f t="shared" ref="G64:G88" si="4">E64*F64</f>
        <v>0</v>
      </c>
      <c r="I64" s="8"/>
      <c r="J64" s="8"/>
      <c r="K64" s="8"/>
      <c r="L64" s="8"/>
      <c r="M64" s="8"/>
      <c r="N64" s="8"/>
      <c r="O64" s="8"/>
      <c r="P64" s="8"/>
    </row>
    <row r="65" spans="1:16" ht="18" customHeight="1" x14ac:dyDescent="0.15">
      <c r="A65" s="8" t="s">
        <v>18</v>
      </c>
      <c r="B65" s="9" t="s">
        <v>305</v>
      </c>
      <c r="C65" s="30"/>
      <c r="D65" s="30"/>
      <c r="E65" s="56">
        <f>'App A9. Data for tables'!$F$25</f>
        <v>0</v>
      </c>
      <c r="F65" s="57">
        <f>'App A9. Data for tables'!$F$78</f>
        <v>11</v>
      </c>
      <c r="G65" s="30">
        <f t="shared" ref="G65:G66" si="5">E65*F65</f>
        <v>0</v>
      </c>
      <c r="I65" s="8"/>
      <c r="J65" s="8"/>
      <c r="K65" s="8"/>
      <c r="L65" s="8"/>
      <c r="M65" s="8"/>
      <c r="N65" s="8"/>
      <c r="O65" s="8"/>
      <c r="P65" s="8"/>
    </row>
    <row r="66" spans="1:16" ht="18" customHeight="1" x14ac:dyDescent="0.15">
      <c r="A66" s="8" t="s">
        <v>18</v>
      </c>
      <c r="B66" s="9" t="s">
        <v>309</v>
      </c>
      <c r="C66" s="30"/>
      <c r="D66" s="30"/>
      <c r="E66" s="56">
        <f>'App A9. Data for tables'!$F$26</f>
        <v>0</v>
      </c>
      <c r="F66" s="57">
        <f>'App A9. Data for tables'!$F$78</f>
        <v>11</v>
      </c>
      <c r="G66" s="30">
        <f t="shared" si="5"/>
        <v>0</v>
      </c>
      <c r="I66" s="8"/>
      <c r="J66" s="8"/>
      <c r="K66" s="8"/>
      <c r="L66" s="8"/>
      <c r="M66" s="8"/>
      <c r="N66" s="8"/>
      <c r="O66" s="8"/>
      <c r="P66" s="8"/>
    </row>
    <row r="67" spans="1:16" ht="18" customHeight="1" x14ac:dyDescent="0.15">
      <c r="A67" s="8" t="s">
        <v>18</v>
      </c>
      <c r="B67" s="9" t="s">
        <v>112</v>
      </c>
      <c r="C67" s="56"/>
      <c r="D67" s="57"/>
      <c r="E67" s="30">
        <f>('App A9. Data for tables'!$F$33*'App A9. Data for tables'!$F$34)+('App A9. Data for tables'!$F$35*'App A9. Data for tables'!$F$36)+('App A9. Data for tables'!$F$37*'App A9. Data for tables'!$F$38)</f>
        <v>1232.9099999999999</v>
      </c>
      <c r="F67" s="57">
        <f>'App A9. Data for tables'!$F$78</f>
        <v>11</v>
      </c>
      <c r="G67" s="30">
        <f t="shared" si="4"/>
        <v>13562.009999999998</v>
      </c>
      <c r="I67" s="8"/>
      <c r="J67" s="8"/>
      <c r="K67" s="8"/>
      <c r="L67" s="8"/>
      <c r="M67" s="8"/>
      <c r="N67" s="8"/>
      <c r="O67" s="8"/>
      <c r="P67" s="8"/>
    </row>
    <row r="68" spans="1:16" ht="18" customHeight="1" x14ac:dyDescent="0.15">
      <c r="A68" s="8" t="s">
        <v>18</v>
      </c>
      <c r="B68" s="9" t="s">
        <v>335</v>
      </c>
      <c r="C68" s="56"/>
      <c r="D68" s="57"/>
      <c r="E68" s="30">
        <f>('App A9. Data for tables'!$F$39*'App A9. Data for tables'!$F$40)+('App A9. Data for tables'!$F$41*'App A9. Data for tables'!$F$42)</f>
        <v>0</v>
      </c>
      <c r="F68" s="57">
        <f>'App A9. Data for tables'!$F$78</f>
        <v>11</v>
      </c>
      <c r="G68" s="30">
        <f t="shared" si="4"/>
        <v>0</v>
      </c>
      <c r="I68" s="8"/>
      <c r="J68" s="8"/>
      <c r="K68" s="8"/>
      <c r="L68" s="8"/>
      <c r="M68" s="8"/>
      <c r="N68" s="8"/>
      <c r="O68" s="8"/>
      <c r="P68" s="8"/>
    </row>
    <row r="69" spans="1:16" ht="18" customHeight="1" x14ac:dyDescent="0.15">
      <c r="A69" s="8" t="s">
        <v>18</v>
      </c>
      <c r="B69" s="9" t="s">
        <v>336</v>
      </c>
      <c r="C69" s="30"/>
      <c r="D69" s="30"/>
      <c r="E69" s="56">
        <f>'App A9. Data for tables'!$F$43</f>
        <v>1390</v>
      </c>
      <c r="F69" s="57">
        <f>'App A9. Data for tables'!$F$78</f>
        <v>11</v>
      </c>
      <c r="G69" s="30">
        <f t="shared" si="4"/>
        <v>15290</v>
      </c>
      <c r="H69" s="114"/>
      <c r="I69" s="8"/>
      <c r="J69" s="8"/>
      <c r="K69" s="8"/>
      <c r="L69" s="8"/>
      <c r="M69" s="8"/>
      <c r="N69" s="8"/>
      <c r="O69" s="8"/>
      <c r="P69" s="8"/>
    </row>
    <row r="70" spans="1:16" ht="18" customHeight="1" x14ac:dyDescent="0.15">
      <c r="A70" s="8" t="s">
        <v>18</v>
      </c>
      <c r="B70" s="9" t="s">
        <v>338</v>
      </c>
      <c r="C70" s="30"/>
      <c r="D70" s="30"/>
      <c r="E70" s="56">
        <f>('App A9. Data for tables'!$F$44*'App A9. Data for tables'!$F$45)</f>
        <v>407.34</v>
      </c>
      <c r="F70" s="57">
        <f>'App A9. Data for tables'!$F$78</f>
        <v>11</v>
      </c>
      <c r="G70" s="30">
        <f t="shared" ref="G70" si="6">E70*F70</f>
        <v>4480.74</v>
      </c>
      <c r="H70" s="114"/>
      <c r="I70" s="8"/>
      <c r="J70" s="8"/>
      <c r="K70" s="8"/>
      <c r="L70" s="8"/>
      <c r="M70" s="8"/>
      <c r="N70" s="8"/>
      <c r="O70" s="8"/>
      <c r="P70" s="8"/>
    </row>
    <row r="71" spans="1:16" ht="18" customHeight="1" x14ac:dyDescent="0.15">
      <c r="A71" s="8" t="s">
        <v>18</v>
      </c>
      <c r="B71" s="9" t="s">
        <v>340</v>
      </c>
      <c r="C71" s="30"/>
      <c r="D71" s="30"/>
      <c r="E71" s="56">
        <f>'App A9. Data for tables'!$F$46</f>
        <v>230</v>
      </c>
      <c r="F71" s="57">
        <f>'App A9. Data for tables'!$F$78</f>
        <v>11</v>
      </c>
      <c r="G71" s="30">
        <f t="shared" si="4"/>
        <v>2530</v>
      </c>
      <c r="H71" s="105"/>
      <c r="I71" s="8"/>
      <c r="J71" s="59"/>
      <c r="K71" s="8"/>
      <c r="L71" s="8"/>
      <c r="M71" s="59"/>
      <c r="N71" s="8"/>
      <c r="O71" s="8"/>
      <c r="P71" s="59"/>
    </row>
    <row r="72" spans="1:16" ht="18" customHeight="1" x14ac:dyDescent="0.15">
      <c r="A72" s="8" t="s">
        <v>18</v>
      </c>
      <c r="B72" s="9" t="s">
        <v>341</v>
      </c>
      <c r="C72" s="30"/>
      <c r="D72" s="30"/>
      <c r="E72" s="56">
        <f>('App A9. Data for tables'!$F$47*'App A9. Data for tables'!$F$48)</f>
        <v>181.04</v>
      </c>
      <c r="F72" s="57">
        <f>'App A9. Data for tables'!$F$78</f>
        <v>11</v>
      </c>
      <c r="G72" s="30">
        <f t="shared" si="4"/>
        <v>1991.4399999999998</v>
      </c>
      <c r="H72" s="105"/>
      <c r="I72" s="8"/>
      <c r="J72" s="59"/>
      <c r="K72" s="8"/>
      <c r="L72" s="8"/>
      <c r="M72" s="59"/>
      <c r="N72" s="8"/>
      <c r="O72" s="8"/>
      <c r="P72" s="59"/>
    </row>
    <row r="73" spans="1:16" ht="18" customHeight="1" x14ac:dyDescent="0.15">
      <c r="A73" s="8" t="s">
        <v>18</v>
      </c>
      <c r="B73" s="9" t="s">
        <v>113</v>
      </c>
      <c r="C73" s="56"/>
      <c r="D73" s="70"/>
      <c r="E73" s="30">
        <f>'App A9. Data for tables'!$F$49</f>
        <v>155</v>
      </c>
      <c r="F73" s="57">
        <f>'App A9. Data for tables'!$F$78</f>
        <v>11</v>
      </c>
      <c r="G73" s="30">
        <f t="shared" si="4"/>
        <v>1705</v>
      </c>
      <c r="H73" s="114"/>
      <c r="I73" s="8"/>
      <c r="J73" s="8"/>
      <c r="K73" s="8"/>
      <c r="L73" s="8"/>
      <c r="M73" s="8"/>
      <c r="N73" s="8"/>
      <c r="O73" s="8"/>
      <c r="P73" s="8"/>
    </row>
    <row r="74" spans="1:16" ht="18" customHeight="1" x14ac:dyDescent="0.15">
      <c r="A74" s="8" t="s">
        <v>18</v>
      </c>
      <c r="B74" s="9" t="s">
        <v>114</v>
      </c>
      <c r="C74" s="30"/>
      <c r="D74" s="30"/>
      <c r="E74" s="56">
        <f>'App A9. Data for tables'!$F$50</f>
        <v>120</v>
      </c>
      <c r="F74" s="57">
        <f>'App A9. Data for tables'!$F$78</f>
        <v>11</v>
      </c>
      <c r="G74" s="30">
        <f t="shared" si="4"/>
        <v>1320</v>
      </c>
      <c r="I74" s="8"/>
      <c r="J74" s="8"/>
      <c r="K74" s="8"/>
      <c r="L74" s="8"/>
      <c r="M74" s="8"/>
      <c r="N74" s="8"/>
      <c r="O74" s="8"/>
      <c r="P74" s="8"/>
    </row>
    <row r="75" spans="1:16" ht="18" customHeight="1" x14ac:dyDescent="0.15">
      <c r="A75" s="8" t="s">
        <v>18</v>
      </c>
      <c r="B75" s="9" t="s">
        <v>342</v>
      </c>
      <c r="C75" s="30"/>
      <c r="D75" s="30"/>
      <c r="E75" s="56">
        <f>('App A9. Data for tables'!$F$51*'App A9. Data for tables'!$F$52)</f>
        <v>226.29999999999998</v>
      </c>
      <c r="F75" s="57">
        <f>'App A9. Data for tables'!$F$78</f>
        <v>11</v>
      </c>
      <c r="G75" s="30">
        <f t="shared" si="4"/>
        <v>2489.2999999999997</v>
      </c>
      <c r="I75" s="8"/>
      <c r="J75" s="8"/>
      <c r="K75" s="8"/>
      <c r="L75" s="8"/>
      <c r="M75" s="8"/>
      <c r="N75" s="8"/>
      <c r="O75" s="8"/>
      <c r="P75" s="8"/>
    </row>
    <row r="76" spans="1:16" ht="18" customHeight="1" x14ac:dyDescent="0.15">
      <c r="A76" s="8" t="s">
        <v>18</v>
      </c>
      <c r="B76" s="9" t="s">
        <v>349</v>
      </c>
      <c r="C76" s="56"/>
      <c r="D76" s="56"/>
      <c r="E76" s="56">
        <f>'App A9. Data for tables'!$F$55</f>
        <v>4350</v>
      </c>
      <c r="F76" s="57">
        <v>10</v>
      </c>
      <c r="G76" s="30">
        <f>E76*F76</f>
        <v>43500</v>
      </c>
    </row>
    <row r="77" spans="1:16" ht="18" customHeight="1" x14ac:dyDescent="0.15">
      <c r="A77" s="8" t="s">
        <v>18</v>
      </c>
      <c r="B77" s="9" t="s">
        <v>24</v>
      </c>
      <c r="C77" s="56"/>
      <c r="D77" s="70"/>
      <c r="E77" s="30">
        <f>'App A9. Data for tables'!$F$53*'App A9. Data for tables'!$F$54</f>
        <v>195</v>
      </c>
      <c r="F77" s="57">
        <f>'App A9. Data for tables'!$F$78</f>
        <v>11</v>
      </c>
      <c r="G77" s="30">
        <f t="shared" si="4"/>
        <v>2145</v>
      </c>
    </row>
    <row r="78" spans="1:16" ht="18" customHeight="1" x14ac:dyDescent="0.15">
      <c r="A78" s="8" t="s">
        <v>18</v>
      </c>
      <c r="B78" s="9" t="s">
        <v>344</v>
      </c>
      <c r="C78" s="30"/>
      <c r="D78" s="30"/>
      <c r="E78" s="56">
        <f>SUM('App A9. Data for tables'!$F$56:$F$60)</f>
        <v>285</v>
      </c>
      <c r="F78" s="57">
        <f>'App A9. Data for tables'!$F$78</f>
        <v>11</v>
      </c>
      <c r="G78" s="30">
        <f t="shared" si="4"/>
        <v>3135</v>
      </c>
    </row>
    <row r="79" spans="1:16" ht="18" customHeight="1" x14ac:dyDescent="0.15">
      <c r="A79" s="8" t="s">
        <v>18</v>
      </c>
      <c r="B79" s="9" t="s">
        <v>345</v>
      </c>
      <c r="C79" s="30"/>
      <c r="D79" s="30"/>
      <c r="E79" s="56">
        <f>'App A9. Data for tables'!$F$61</f>
        <v>160</v>
      </c>
      <c r="F79" s="57">
        <f>'App A9. Data for tables'!$F$78</f>
        <v>11</v>
      </c>
      <c r="G79" s="30">
        <f t="shared" si="4"/>
        <v>1760</v>
      </c>
    </row>
    <row r="80" spans="1:16" ht="18" customHeight="1" x14ac:dyDescent="0.15">
      <c r="A80" s="8" t="s">
        <v>18</v>
      </c>
      <c r="B80" s="9" t="s">
        <v>217</v>
      </c>
      <c r="C80" s="56"/>
      <c r="D80" s="70"/>
      <c r="E80" s="30">
        <f>'App A9. Data for tables'!$F$66</f>
        <v>100</v>
      </c>
      <c r="F80" s="57">
        <f>'App A9. Data for tables'!$F$78</f>
        <v>11</v>
      </c>
      <c r="G80" s="30">
        <f t="shared" si="4"/>
        <v>1100</v>
      </c>
      <c r="H80" s="114"/>
    </row>
    <row r="81" spans="1:16" ht="18" customHeight="1" x14ac:dyDescent="0.15">
      <c r="A81" s="8" t="s">
        <v>18</v>
      </c>
      <c r="B81" s="9" t="s">
        <v>28</v>
      </c>
      <c r="C81" s="30"/>
      <c r="D81" s="57"/>
      <c r="E81" s="56">
        <f>'App A9. Data for tables'!$F$67</f>
        <v>190</v>
      </c>
      <c r="F81" s="57">
        <f>'App A9. Data for tables'!$F$78</f>
        <v>11</v>
      </c>
      <c r="G81" s="30">
        <f t="shared" si="4"/>
        <v>2090</v>
      </c>
    </row>
    <row r="82" spans="1:16" ht="18" customHeight="1" x14ac:dyDescent="0.15">
      <c r="A82" s="8" t="s">
        <v>18</v>
      </c>
      <c r="B82" s="9" t="s">
        <v>29</v>
      </c>
      <c r="C82" s="30"/>
      <c r="D82" s="30"/>
      <c r="E82" s="56">
        <f>'App A9. Data for tables'!$F$69</f>
        <v>120</v>
      </c>
      <c r="F82" s="57">
        <f>'App A9. Data for tables'!$F$78</f>
        <v>11</v>
      </c>
      <c r="G82" s="30">
        <f t="shared" si="4"/>
        <v>1320</v>
      </c>
    </row>
    <row r="83" spans="1:16" ht="18" customHeight="1" x14ac:dyDescent="0.15">
      <c r="A83" s="8" t="s">
        <v>18</v>
      </c>
      <c r="B83" s="9" t="s">
        <v>348</v>
      </c>
      <c r="C83" s="30"/>
      <c r="D83" s="30"/>
      <c r="E83" s="56">
        <f>'App A9. Data for tables'!$F$70+'App A9. Data for tables'!$F$71</f>
        <v>425</v>
      </c>
      <c r="F83" s="57">
        <f>'App A9. Data for tables'!$F$78</f>
        <v>11</v>
      </c>
      <c r="G83" s="30">
        <f t="shared" si="4"/>
        <v>4675</v>
      </c>
    </row>
    <row r="84" spans="1:16" ht="18" customHeight="1" x14ac:dyDescent="0.15">
      <c r="A84" s="8" t="s">
        <v>18</v>
      </c>
      <c r="B84" s="9" t="s">
        <v>118</v>
      </c>
      <c r="C84" s="30"/>
      <c r="D84" s="30"/>
      <c r="E84" s="56">
        <f>'App A9. Data for tables'!$F$72</f>
        <v>700</v>
      </c>
      <c r="F84" s="57">
        <f>'App A9. Data for tables'!$F$78</f>
        <v>11</v>
      </c>
      <c r="G84" s="30">
        <f t="shared" si="4"/>
        <v>7700</v>
      </c>
    </row>
    <row r="85" spans="1:16" ht="18" customHeight="1" x14ac:dyDescent="0.15">
      <c r="A85" s="8" t="s">
        <v>18</v>
      </c>
      <c r="B85" s="9" t="s">
        <v>425</v>
      </c>
      <c r="C85" s="56">
        <f>'App A9. Data for tables'!$F$62</f>
        <v>0.3</v>
      </c>
      <c r="D85" s="70">
        <f>'App A9. Data for tables'!$F$7</f>
        <v>4000</v>
      </c>
      <c r="E85" s="30">
        <f>C85*D85</f>
        <v>1200</v>
      </c>
      <c r="F85" s="57">
        <f>'App A9. Data for tables'!$F$78</f>
        <v>11</v>
      </c>
      <c r="G85" s="30">
        <f t="shared" si="4"/>
        <v>13200</v>
      </c>
    </row>
    <row r="86" spans="1:16" ht="18" customHeight="1" x14ac:dyDescent="0.15">
      <c r="A86" s="8" t="s">
        <v>18</v>
      </c>
      <c r="B86" s="9" t="s">
        <v>426</v>
      </c>
      <c r="C86" s="56">
        <f>'App A9. Data for tables'!$F$63</f>
        <v>0.15</v>
      </c>
      <c r="D86" s="70">
        <f>'App A9. Data for tables'!$F$7</f>
        <v>4000</v>
      </c>
      <c r="E86" s="30">
        <f>C86*D86</f>
        <v>600</v>
      </c>
      <c r="F86" s="57">
        <f>'App A9. Data for tables'!$F$78</f>
        <v>11</v>
      </c>
      <c r="G86" s="30">
        <f t="shared" si="4"/>
        <v>6600</v>
      </c>
    </row>
    <row r="87" spans="1:16" ht="18" customHeight="1" x14ac:dyDescent="0.15">
      <c r="A87" s="8" t="s">
        <v>18</v>
      </c>
      <c r="B87" s="9" t="s">
        <v>427</v>
      </c>
      <c r="C87" s="56">
        <f>'App A9. Data for tables'!$F$64</f>
        <v>0.05</v>
      </c>
      <c r="D87" s="70">
        <f>'App A9. Data for tables'!$F$7</f>
        <v>4000</v>
      </c>
      <c r="E87" s="30">
        <f>C87*D87</f>
        <v>200</v>
      </c>
      <c r="F87" s="57">
        <f>'App A9. Data for tables'!$F$78</f>
        <v>11</v>
      </c>
      <c r="G87" s="30">
        <f t="shared" si="4"/>
        <v>2200</v>
      </c>
    </row>
    <row r="88" spans="1:16" ht="18" customHeight="1" x14ac:dyDescent="0.15">
      <c r="A88" s="8" t="s">
        <v>18</v>
      </c>
      <c r="B88" s="103" t="s">
        <v>428</v>
      </c>
      <c r="C88" s="56">
        <f>'App A9. Data for tables'!$F$65</f>
        <v>0.85</v>
      </c>
      <c r="D88" s="70">
        <f>'App A9. Data for tables'!$F$7</f>
        <v>4000</v>
      </c>
      <c r="E88" s="30">
        <f>C88*D88</f>
        <v>3400</v>
      </c>
      <c r="F88" s="57">
        <f>'App A9. Data for tables'!$F$78</f>
        <v>11</v>
      </c>
      <c r="G88" s="30">
        <f t="shared" si="4"/>
        <v>37400</v>
      </c>
    </row>
    <row r="89" spans="1:16" ht="36" customHeight="1" x14ac:dyDescent="0.15">
      <c r="A89" s="8" t="s">
        <v>19</v>
      </c>
      <c r="B89" s="9" t="s">
        <v>371</v>
      </c>
      <c r="C89" s="30"/>
      <c r="D89" s="30"/>
      <c r="E89" s="56">
        <f>'App A9. Data for tables'!$G$24</f>
        <v>0</v>
      </c>
      <c r="F89" s="57">
        <f>'App A9. Data for tables'!$G$78</f>
        <v>11</v>
      </c>
      <c r="G89" s="30">
        <f>E89*F89</f>
        <v>0</v>
      </c>
      <c r="I89" s="8"/>
      <c r="J89" s="8"/>
      <c r="K89" s="8"/>
      <c r="L89" s="8"/>
      <c r="M89" s="8"/>
      <c r="N89" s="8"/>
      <c r="O89" s="8"/>
      <c r="P89" s="8"/>
    </row>
    <row r="90" spans="1:16" ht="18" customHeight="1" x14ac:dyDescent="0.15">
      <c r="A90" s="8" t="s">
        <v>19</v>
      </c>
      <c r="B90" s="9" t="s">
        <v>309</v>
      </c>
      <c r="C90" s="30"/>
      <c r="D90" s="30"/>
      <c r="E90" s="56">
        <f>'App A9. Data for tables'!$G$26</f>
        <v>0</v>
      </c>
      <c r="F90" s="57">
        <f>'App A9. Data for tables'!$G$78</f>
        <v>11</v>
      </c>
      <c r="G90" s="30">
        <f>E90*F90</f>
        <v>0</v>
      </c>
      <c r="I90" s="8"/>
      <c r="J90" s="8"/>
      <c r="K90" s="8"/>
      <c r="L90" s="8"/>
      <c r="M90" s="8"/>
      <c r="N90" s="8"/>
      <c r="O90" s="8"/>
      <c r="P90" s="8"/>
    </row>
    <row r="91" spans="1:16" ht="18" customHeight="1" x14ac:dyDescent="0.15">
      <c r="A91" s="8" t="s">
        <v>19</v>
      </c>
      <c r="B91" s="9" t="s">
        <v>112</v>
      </c>
      <c r="C91" s="56"/>
      <c r="D91" s="57"/>
      <c r="E91" s="30">
        <f>('App A9. Data for tables'!$G$33*'App A9. Data for tables'!$G$34)+('App A9. Data for tables'!$G$35*'App A9. Data for tables'!$G$36)+('App A9. Data for tables'!$G$37*'App A9. Data for tables'!$G$38)</f>
        <v>1254.54</v>
      </c>
      <c r="F91" s="57">
        <f>'App A9. Data for tables'!$G$78</f>
        <v>11</v>
      </c>
      <c r="G91" s="30">
        <f t="shared" ref="G91:G111" si="7">E91*F91</f>
        <v>13799.939999999999</v>
      </c>
      <c r="I91" s="8"/>
      <c r="J91" s="8"/>
      <c r="K91" s="8"/>
      <c r="L91" s="8"/>
      <c r="M91" s="8"/>
      <c r="N91" s="8"/>
      <c r="O91" s="8"/>
      <c r="P91" s="8"/>
    </row>
    <row r="92" spans="1:16" ht="18" customHeight="1" x14ac:dyDescent="0.15">
      <c r="A92" s="8" t="s">
        <v>19</v>
      </c>
      <c r="B92" s="9" t="s">
        <v>335</v>
      </c>
      <c r="C92" s="56"/>
      <c r="D92" s="57"/>
      <c r="E92" s="30">
        <f>('App A9. Data for tables'!$G$39*'App A9. Data for tables'!$G$40)+('App A9. Data for tables'!$G$41*'App A9. Data for tables'!$G$42)</f>
        <v>0</v>
      </c>
      <c r="F92" s="57">
        <f>'App A9. Data for tables'!$G$78</f>
        <v>11</v>
      </c>
      <c r="G92" s="30">
        <f t="shared" si="7"/>
        <v>0</v>
      </c>
      <c r="I92" s="8"/>
      <c r="J92" s="8"/>
      <c r="K92" s="8"/>
      <c r="L92" s="8"/>
      <c r="M92" s="8"/>
      <c r="N92" s="8"/>
      <c r="O92" s="8"/>
      <c r="P92" s="8"/>
    </row>
    <row r="93" spans="1:16" ht="18" customHeight="1" x14ac:dyDescent="0.15">
      <c r="A93" s="8" t="s">
        <v>19</v>
      </c>
      <c r="B93" s="9" t="s">
        <v>336</v>
      </c>
      <c r="C93" s="30"/>
      <c r="D93" s="30"/>
      <c r="E93" s="56">
        <f>'App A9. Data for tables'!$G$43</f>
        <v>1460</v>
      </c>
      <c r="F93" s="57">
        <f>'App A9. Data for tables'!$G$78</f>
        <v>11</v>
      </c>
      <c r="G93" s="30">
        <f t="shared" si="7"/>
        <v>16060</v>
      </c>
      <c r="I93" s="8"/>
      <c r="J93" s="8"/>
      <c r="K93" s="8"/>
      <c r="L93" s="8"/>
      <c r="M93" s="8"/>
      <c r="N93" s="8"/>
      <c r="O93" s="8"/>
      <c r="P93" s="8"/>
    </row>
    <row r="94" spans="1:16" ht="18" customHeight="1" x14ac:dyDescent="0.15">
      <c r="A94" s="8" t="s">
        <v>19</v>
      </c>
      <c r="B94" s="9" t="s">
        <v>338</v>
      </c>
      <c r="C94" s="30"/>
      <c r="D94" s="30"/>
      <c r="E94" s="56">
        <f>('App A9. Data for tables'!$G$44*'App A9. Data for tables'!$G$45)</f>
        <v>407.34</v>
      </c>
      <c r="F94" s="57">
        <f>'App A9. Data for tables'!$G$78</f>
        <v>11</v>
      </c>
      <c r="G94" s="30">
        <f t="shared" ref="G94" si="8">E94*F94</f>
        <v>4480.74</v>
      </c>
      <c r="I94" s="8"/>
      <c r="J94" s="8"/>
      <c r="K94" s="8"/>
      <c r="L94" s="8"/>
      <c r="M94" s="8"/>
      <c r="N94" s="8"/>
      <c r="O94" s="8"/>
      <c r="P94" s="8"/>
    </row>
    <row r="95" spans="1:16" ht="18" customHeight="1" x14ac:dyDescent="0.15">
      <c r="A95" s="8" t="s">
        <v>19</v>
      </c>
      <c r="B95" s="9" t="s">
        <v>340</v>
      </c>
      <c r="C95" s="30"/>
      <c r="D95" s="30"/>
      <c r="E95" s="56">
        <f>'App A9. Data for tables'!$G$46</f>
        <v>230</v>
      </c>
      <c r="F95" s="57">
        <f>'App A9. Data for tables'!$G$78</f>
        <v>11</v>
      </c>
      <c r="G95" s="30">
        <f t="shared" si="7"/>
        <v>2530</v>
      </c>
      <c r="H95" s="105"/>
      <c r="I95" s="8"/>
      <c r="J95" s="59"/>
      <c r="K95" s="8"/>
      <c r="L95" s="8"/>
      <c r="M95" s="59"/>
      <c r="N95" s="8"/>
      <c r="O95" s="8"/>
      <c r="P95" s="59"/>
    </row>
    <row r="96" spans="1:16" ht="18" customHeight="1" x14ac:dyDescent="0.15">
      <c r="A96" s="8" t="s">
        <v>19</v>
      </c>
      <c r="B96" s="9" t="s">
        <v>341</v>
      </c>
      <c r="C96" s="30"/>
      <c r="D96" s="30"/>
      <c r="E96" s="56">
        <f>('App A9. Data for tables'!$G$47*'App A9. Data for tables'!$G$48)</f>
        <v>181.04</v>
      </c>
      <c r="F96" s="57">
        <f>'App A9. Data for tables'!$G$78</f>
        <v>11</v>
      </c>
      <c r="G96" s="30">
        <f t="shared" si="7"/>
        <v>1991.4399999999998</v>
      </c>
      <c r="H96" s="105"/>
      <c r="I96" s="8"/>
      <c r="J96" s="59"/>
      <c r="K96" s="8"/>
      <c r="L96" s="8"/>
      <c r="M96" s="59"/>
      <c r="N96" s="8"/>
      <c r="O96" s="8"/>
      <c r="P96" s="59"/>
    </row>
    <row r="97" spans="1:16" ht="18" customHeight="1" x14ac:dyDescent="0.15">
      <c r="A97" s="8" t="s">
        <v>19</v>
      </c>
      <c r="B97" s="9" t="s">
        <v>113</v>
      </c>
      <c r="C97" s="56"/>
      <c r="D97" s="70"/>
      <c r="E97" s="30">
        <f>'App A9. Data for tables'!$G$49</f>
        <v>155</v>
      </c>
      <c r="F97" s="57">
        <f>'App A9. Data for tables'!$G$78</f>
        <v>11</v>
      </c>
      <c r="G97" s="30">
        <f t="shared" si="7"/>
        <v>1705</v>
      </c>
      <c r="I97" s="8"/>
      <c r="J97" s="8"/>
      <c r="K97" s="8"/>
      <c r="L97" s="8"/>
      <c r="M97" s="8"/>
      <c r="N97" s="8"/>
      <c r="O97" s="8"/>
      <c r="P97" s="8"/>
    </row>
    <row r="98" spans="1:16" ht="18" customHeight="1" x14ac:dyDescent="0.15">
      <c r="A98" s="8" t="s">
        <v>19</v>
      </c>
      <c r="B98" s="9" t="s">
        <v>114</v>
      </c>
      <c r="C98" s="30"/>
      <c r="D98" s="30"/>
      <c r="E98" s="56">
        <f>'App A9. Data for tables'!$G$50</f>
        <v>120</v>
      </c>
      <c r="F98" s="57">
        <f>'App A9. Data for tables'!$G$78</f>
        <v>11</v>
      </c>
      <c r="G98" s="30">
        <f t="shared" si="7"/>
        <v>1320</v>
      </c>
      <c r="I98" s="8"/>
      <c r="J98" s="8"/>
      <c r="K98" s="8"/>
      <c r="L98" s="8"/>
      <c r="M98" s="8"/>
      <c r="N98" s="8"/>
      <c r="O98" s="8"/>
      <c r="P98" s="8"/>
    </row>
    <row r="99" spans="1:16" ht="18" customHeight="1" x14ac:dyDescent="0.15">
      <c r="A99" s="8" t="s">
        <v>19</v>
      </c>
      <c r="B99" s="9" t="s">
        <v>342</v>
      </c>
      <c r="C99" s="30"/>
      <c r="D99" s="30"/>
      <c r="E99" s="56">
        <f>('App A9. Data for tables'!$G$51*'App A9. Data for tables'!$G$52)</f>
        <v>226.29999999999998</v>
      </c>
      <c r="F99" s="57">
        <f>'App A9. Data for tables'!$G$78</f>
        <v>11</v>
      </c>
      <c r="G99" s="30">
        <f t="shared" si="7"/>
        <v>2489.2999999999997</v>
      </c>
      <c r="I99" s="8"/>
      <c r="J99" s="8"/>
      <c r="K99" s="8"/>
      <c r="L99" s="8"/>
      <c r="M99" s="8"/>
      <c r="N99" s="8"/>
      <c r="O99" s="8"/>
      <c r="P99" s="8"/>
    </row>
    <row r="100" spans="1:16" ht="18" customHeight="1" x14ac:dyDescent="0.15">
      <c r="A100" s="8" t="s">
        <v>19</v>
      </c>
      <c r="B100" s="9" t="s">
        <v>24</v>
      </c>
      <c r="C100" s="56"/>
      <c r="D100" s="70"/>
      <c r="E100" s="30">
        <f>'App A9. Data for tables'!$G$53*'App A9. Data for tables'!$G$54</f>
        <v>195</v>
      </c>
      <c r="F100" s="57">
        <f>'App A9. Data for tables'!$G$78</f>
        <v>11</v>
      </c>
      <c r="G100" s="30">
        <f t="shared" si="7"/>
        <v>2145</v>
      </c>
      <c r="I100" s="8"/>
      <c r="J100" s="8"/>
      <c r="K100" s="8"/>
      <c r="L100" s="8"/>
      <c r="M100" s="8"/>
      <c r="N100" s="8"/>
      <c r="O100" s="8"/>
      <c r="P100" s="8"/>
    </row>
    <row r="101" spans="1:16" ht="18" customHeight="1" x14ac:dyDescent="0.15">
      <c r="A101" s="8" t="s">
        <v>19</v>
      </c>
      <c r="B101" s="9" t="s">
        <v>344</v>
      </c>
      <c r="C101" s="30"/>
      <c r="D101" s="30"/>
      <c r="E101" s="56">
        <f>SUM('App A9. Data for tables'!$G$56:$G$60)</f>
        <v>285</v>
      </c>
      <c r="F101" s="57">
        <f>'App A9. Data for tables'!$G$78</f>
        <v>11</v>
      </c>
      <c r="G101" s="30">
        <f t="shared" si="7"/>
        <v>3135</v>
      </c>
      <c r="I101" s="8"/>
      <c r="J101" s="8"/>
      <c r="K101" s="8"/>
      <c r="L101" s="8"/>
      <c r="M101" s="8"/>
      <c r="N101" s="8"/>
      <c r="O101" s="8"/>
      <c r="P101" s="8"/>
    </row>
    <row r="102" spans="1:16" ht="18" customHeight="1" x14ac:dyDescent="0.15">
      <c r="A102" s="8" t="s">
        <v>19</v>
      </c>
      <c r="B102" s="9" t="s">
        <v>345</v>
      </c>
      <c r="C102" s="30"/>
      <c r="D102" s="30"/>
      <c r="E102" s="56">
        <f>'App A9. Data for tables'!$G$61</f>
        <v>180</v>
      </c>
      <c r="F102" s="57">
        <f>'App A9. Data for tables'!$G$78</f>
        <v>11</v>
      </c>
      <c r="G102" s="30">
        <f t="shared" si="7"/>
        <v>1980</v>
      </c>
      <c r="I102" s="8"/>
      <c r="J102" s="8"/>
      <c r="K102" s="8"/>
      <c r="L102" s="8"/>
      <c r="M102" s="8"/>
      <c r="N102" s="8"/>
      <c r="O102" s="8"/>
      <c r="P102" s="8"/>
    </row>
    <row r="103" spans="1:16" ht="18" customHeight="1" x14ac:dyDescent="0.15">
      <c r="A103" s="8" t="s">
        <v>19</v>
      </c>
      <c r="B103" s="9" t="s">
        <v>217</v>
      </c>
      <c r="C103" s="56"/>
      <c r="D103" s="70"/>
      <c r="E103" s="30">
        <f>'App A9. Data for tables'!$G$66</f>
        <v>100</v>
      </c>
      <c r="F103" s="57">
        <f>'App A9. Data for tables'!$G$78</f>
        <v>11</v>
      </c>
      <c r="G103" s="30">
        <f t="shared" si="7"/>
        <v>1100</v>
      </c>
      <c r="I103" s="8"/>
      <c r="J103" s="8"/>
      <c r="K103" s="8"/>
      <c r="L103" s="8"/>
      <c r="M103" s="8"/>
      <c r="N103" s="8"/>
      <c r="O103" s="8"/>
      <c r="P103" s="8"/>
    </row>
    <row r="104" spans="1:16" ht="18" customHeight="1" x14ac:dyDescent="0.15">
      <c r="A104" s="8" t="s">
        <v>19</v>
      </c>
      <c r="B104" s="9" t="s">
        <v>28</v>
      </c>
      <c r="C104" s="30"/>
      <c r="D104" s="57"/>
      <c r="E104" s="56">
        <f>'App A9. Data for tables'!$G$67</f>
        <v>190</v>
      </c>
      <c r="F104" s="57">
        <f>'App A9. Data for tables'!$G$78</f>
        <v>11</v>
      </c>
      <c r="G104" s="30">
        <f t="shared" si="7"/>
        <v>2090</v>
      </c>
      <c r="I104" s="8"/>
      <c r="J104" s="8"/>
      <c r="K104" s="8"/>
      <c r="L104" s="8"/>
      <c r="M104" s="8"/>
      <c r="N104" s="8"/>
      <c r="O104" s="8"/>
      <c r="P104" s="8"/>
    </row>
    <row r="105" spans="1:16" ht="18" customHeight="1" x14ac:dyDescent="0.15">
      <c r="A105" s="8" t="s">
        <v>19</v>
      </c>
      <c r="B105" s="9" t="s">
        <v>29</v>
      </c>
      <c r="C105" s="30"/>
      <c r="D105" s="30"/>
      <c r="E105" s="56">
        <f>'App A9. Data for tables'!$G$69</f>
        <v>120</v>
      </c>
      <c r="F105" s="57">
        <f>'App A9. Data for tables'!$G$78</f>
        <v>11</v>
      </c>
      <c r="G105" s="30">
        <f t="shared" si="7"/>
        <v>1320</v>
      </c>
    </row>
    <row r="106" spans="1:16" ht="18" customHeight="1" x14ac:dyDescent="0.15">
      <c r="A106" s="8" t="s">
        <v>19</v>
      </c>
      <c r="B106" s="9" t="s">
        <v>348</v>
      </c>
      <c r="C106" s="30"/>
      <c r="D106" s="30"/>
      <c r="E106" s="56">
        <f>'App A9. Data for tables'!$G$70+'App A9. Data for tables'!$G$71</f>
        <v>425</v>
      </c>
      <c r="F106" s="57">
        <f>'App A9. Data for tables'!$G$78</f>
        <v>11</v>
      </c>
      <c r="G106" s="30">
        <f t="shared" si="7"/>
        <v>4675</v>
      </c>
    </row>
    <row r="107" spans="1:16" ht="18" customHeight="1" x14ac:dyDescent="0.15">
      <c r="A107" s="8" t="s">
        <v>19</v>
      </c>
      <c r="B107" s="9" t="s">
        <v>118</v>
      </c>
      <c r="C107" s="30"/>
      <c r="D107" s="30"/>
      <c r="E107" s="56">
        <f>'App A9. Data for tables'!$G$72</f>
        <v>700</v>
      </c>
      <c r="F107" s="57">
        <f>'App A9. Data for tables'!$G$78</f>
        <v>11</v>
      </c>
      <c r="G107" s="30">
        <f t="shared" si="7"/>
        <v>7700</v>
      </c>
    </row>
    <row r="108" spans="1:16" ht="18" customHeight="1" x14ac:dyDescent="0.15">
      <c r="A108" s="8" t="s">
        <v>19</v>
      </c>
      <c r="B108" s="9" t="s">
        <v>425</v>
      </c>
      <c r="C108" s="56">
        <f>'App A9. Data for tables'!$G$62</f>
        <v>0.27</v>
      </c>
      <c r="D108" s="57">
        <f>'App A9. Data for tables'!$G$7</f>
        <v>14000</v>
      </c>
      <c r="E108" s="30">
        <f>C108*D108</f>
        <v>3780.0000000000005</v>
      </c>
      <c r="F108" s="57">
        <f>'App A9. Data for tables'!$G$78</f>
        <v>11</v>
      </c>
      <c r="G108" s="30">
        <f t="shared" si="7"/>
        <v>41580.000000000007</v>
      </c>
    </row>
    <row r="109" spans="1:16" ht="18" customHeight="1" x14ac:dyDescent="0.15">
      <c r="A109" s="8" t="s">
        <v>19</v>
      </c>
      <c r="B109" s="9" t="s">
        <v>426</v>
      </c>
      <c r="C109" s="56">
        <f>'App A9. Data for tables'!$G$63</f>
        <v>0.15</v>
      </c>
      <c r="D109" s="57">
        <f>'App A9. Data for tables'!$G$7</f>
        <v>14000</v>
      </c>
      <c r="E109" s="30">
        <f>C109*D109</f>
        <v>2100</v>
      </c>
      <c r="F109" s="57">
        <f>'App A9. Data for tables'!$G$78</f>
        <v>11</v>
      </c>
      <c r="G109" s="30">
        <f t="shared" si="7"/>
        <v>23100</v>
      </c>
    </row>
    <row r="110" spans="1:16" ht="18" customHeight="1" x14ac:dyDescent="0.15">
      <c r="A110" s="8" t="s">
        <v>19</v>
      </c>
      <c r="B110" s="9" t="s">
        <v>427</v>
      </c>
      <c r="C110" s="56">
        <f>'App A9. Data for tables'!$G$64</f>
        <v>0.05</v>
      </c>
      <c r="D110" s="57">
        <f>'App A9. Data for tables'!$G$7</f>
        <v>14000</v>
      </c>
      <c r="E110" s="30">
        <f>C110*D110</f>
        <v>700</v>
      </c>
      <c r="F110" s="57">
        <f>'App A9. Data for tables'!$G$78</f>
        <v>11</v>
      </c>
      <c r="G110" s="30">
        <f t="shared" si="7"/>
        <v>7700</v>
      </c>
    </row>
    <row r="111" spans="1:16" ht="18" customHeight="1" x14ac:dyDescent="0.15">
      <c r="A111" s="8" t="s">
        <v>19</v>
      </c>
      <c r="B111" s="103" t="s">
        <v>428</v>
      </c>
      <c r="C111" s="56">
        <f>'App A9. Data for tables'!$G$65</f>
        <v>0.85</v>
      </c>
      <c r="D111" s="57">
        <f>'App A9. Data for tables'!$G$7</f>
        <v>14000</v>
      </c>
      <c r="E111" s="30">
        <f>C111*D111</f>
        <v>11900</v>
      </c>
      <c r="F111" s="57">
        <f>'App A9. Data for tables'!$G$78</f>
        <v>11</v>
      </c>
      <c r="G111" s="30">
        <f t="shared" si="7"/>
        <v>130900</v>
      </c>
    </row>
    <row r="112" spans="1:16" ht="18" customHeight="1" x14ac:dyDescent="0.15">
      <c r="A112" s="9" t="s">
        <v>49</v>
      </c>
      <c r="B112" s="104"/>
      <c r="C112" s="56"/>
      <c r="D112" s="57"/>
      <c r="E112" s="30"/>
      <c r="F112" s="57"/>
      <c r="G112" s="30"/>
    </row>
    <row r="113" spans="1:8" s="8" customFormat="1" ht="18" customHeight="1" x14ac:dyDescent="0.15">
      <c r="A113" s="106" t="s">
        <v>115</v>
      </c>
      <c r="C113" s="107"/>
      <c r="D113" s="31"/>
      <c r="E113" s="31"/>
      <c r="F113" s="31"/>
      <c r="G113" s="31"/>
      <c r="H113" s="103"/>
    </row>
    <row r="114" spans="1:8" s="8" customFormat="1" ht="18" customHeight="1" x14ac:dyDescent="0.15">
      <c r="A114" s="106" t="s">
        <v>116</v>
      </c>
      <c r="C114" s="107"/>
      <c r="D114" s="31"/>
      <c r="E114" s="31"/>
      <c r="F114" s="31"/>
      <c r="G114" s="31"/>
      <c r="H114" s="103"/>
    </row>
    <row r="115" spans="1:8" s="8" customFormat="1" ht="18" customHeight="1" x14ac:dyDescent="0.15">
      <c r="A115" s="106" t="s">
        <v>334</v>
      </c>
      <c r="C115" s="107"/>
      <c r="D115" s="31"/>
      <c r="E115" s="31"/>
      <c r="F115" s="31"/>
      <c r="G115" s="31"/>
      <c r="H115" s="103"/>
    </row>
    <row r="116" spans="1:8" s="8" customFormat="1" ht="18" customHeight="1" x14ac:dyDescent="0.15">
      <c r="A116" s="7" t="s">
        <v>337</v>
      </c>
      <c r="B116" s="7"/>
      <c r="C116" s="7"/>
      <c r="D116" s="7"/>
      <c r="E116" s="7"/>
      <c r="F116" s="7"/>
      <c r="G116" s="7"/>
      <c r="H116" s="103"/>
    </row>
    <row r="117" spans="1:8" s="8" customFormat="1" ht="18" customHeight="1" x14ac:dyDescent="0.15">
      <c r="A117" s="106" t="s">
        <v>339</v>
      </c>
      <c r="C117" s="31"/>
      <c r="D117" s="31"/>
      <c r="E117" s="31"/>
      <c r="F117" s="31"/>
      <c r="G117" s="31"/>
      <c r="H117" s="103"/>
    </row>
    <row r="118" spans="1:8" s="8" customFormat="1" ht="18" customHeight="1" x14ac:dyDescent="0.15">
      <c r="A118" s="106" t="s">
        <v>343</v>
      </c>
      <c r="B118" s="106"/>
      <c r="C118" s="108"/>
      <c r="D118" s="108"/>
      <c r="E118" s="108"/>
      <c r="F118" s="108"/>
      <c r="G118" s="108"/>
      <c r="H118" s="103"/>
    </row>
    <row r="119" spans="1:8" s="8" customFormat="1" ht="18" customHeight="1" x14ac:dyDescent="0.15">
      <c r="A119" s="7" t="s">
        <v>407</v>
      </c>
      <c r="B119" s="7"/>
      <c r="C119" s="7"/>
      <c r="D119" s="7"/>
      <c r="E119" s="7"/>
      <c r="F119" s="7"/>
      <c r="G119" s="7"/>
      <c r="H119" s="103"/>
    </row>
    <row r="120" spans="1:8" s="8" customFormat="1" ht="18" customHeight="1" x14ac:dyDescent="0.15">
      <c r="A120" s="106" t="s">
        <v>346</v>
      </c>
      <c r="B120" s="108"/>
      <c r="C120" s="108"/>
      <c r="D120" s="108"/>
      <c r="E120" s="108"/>
      <c r="F120" s="108"/>
      <c r="G120" s="108"/>
      <c r="H120" s="103"/>
    </row>
    <row r="121" spans="1:8" s="8" customFormat="1" ht="18" customHeight="1" x14ac:dyDescent="0.15">
      <c r="A121" s="106" t="s">
        <v>461</v>
      </c>
      <c r="B121" s="108"/>
      <c r="C121" s="108"/>
      <c r="D121" s="108"/>
      <c r="E121" s="108"/>
      <c r="F121" s="108"/>
      <c r="G121" s="108"/>
      <c r="H121" s="103"/>
    </row>
    <row r="122" spans="1:8" s="8" customFormat="1" ht="18" customHeight="1" x14ac:dyDescent="0.15">
      <c r="A122" s="106" t="s">
        <v>119</v>
      </c>
      <c r="B122" s="108"/>
      <c r="C122" s="108"/>
      <c r="D122" s="108"/>
      <c r="E122" s="108"/>
      <c r="F122" s="108"/>
      <c r="G122" s="108"/>
      <c r="H122" s="103"/>
    </row>
    <row r="123" spans="1:8" s="8" customFormat="1" ht="18" customHeight="1" x14ac:dyDescent="0.15">
      <c r="A123" s="106" t="s">
        <v>423</v>
      </c>
      <c r="C123" s="31"/>
      <c r="D123" s="31"/>
      <c r="E123" s="31"/>
      <c r="F123" s="31"/>
      <c r="G123" s="31"/>
      <c r="H123" s="103"/>
    </row>
  </sheetData>
  <protectedRanges>
    <protectedRange sqref="C3:E111" name="Range2"/>
    <protectedRange sqref="C112:E112" name="Range2_1"/>
  </protectedRanges>
  <phoneticPr fontId="17" type="noConversion"/>
  <pageMargins left="0.7" right="0.7" top="0.75" bottom="0.75" header="0.3" footer="0.3"/>
  <pageSetup orientation="portrait"/>
  <ignoredErrors>
    <ignoredError sqref="C9:D84 C8 G8:H8 G9:H111 C89:D111 C85:C88" unlockedFormula="1"/>
    <ignoredError sqref="D8" calculatedColumn="1"/>
    <ignoredError sqref="E3:F111" unlockedFormula="1" calculatedColumn="1"/>
  </ignoredErrors>
  <tableParts count="1">
    <tablePart r:id="rId1"/>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ddc9d20-b71f-4856-9479-006414ff5e8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17D58288229BC4088569E048B6F0070" ma:contentTypeVersion="18" ma:contentTypeDescription="Create a new document." ma:contentTypeScope="" ma:versionID="ee464c4f146fddf4228e353f13f96465">
  <xsd:schema xmlns:xsd="http://www.w3.org/2001/XMLSchema" xmlns:xs="http://www.w3.org/2001/XMLSchema" xmlns:p="http://schemas.microsoft.com/office/2006/metadata/properties" xmlns:ns3="9ddc9d20-b71f-4856-9479-006414ff5e84" xmlns:ns4="2b322f46-9662-42fc-bc17-091c716e99e0" targetNamespace="http://schemas.microsoft.com/office/2006/metadata/properties" ma:root="true" ma:fieldsID="e3af4ef9d2f9f4bcb7d6d07f95377f75" ns3:_="" ns4:_="">
    <xsd:import namespace="9ddc9d20-b71f-4856-9479-006414ff5e84"/>
    <xsd:import namespace="2b322f46-9662-42fc-bc17-091c716e99e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GenerationTime" minOccurs="0"/>
                <xsd:element ref="ns3:MediaServiceEventHashCode" minOccurs="0"/>
                <xsd:element ref="ns3:_activity"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dc9d20-b71f-4856-9479-006414ff5e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22f46-9662-42fc-bc17-091c716e99e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2AF511-652F-4A3E-A434-A866251EBA89}">
  <ds:schemaRefs>
    <ds:schemaRef ds:uri="http://schemas.microsoft.com/office/2006/metadata/properties"/>
    <ds:schemaRef ds:uri="http://schemas.microsoft.com/office/infopath/2007/PartnerControls"/>
    <ds:schemaRef ds:uri="9ddc9d20-b71f-4856-9479-006414ff5e84"/>
  </ds:schemaRefs>
</ds:datastoreItem>
</file>

<file path=customXml/itemProps2.xml><?xml version="1.0" encoding="utf-8"?>
<ds:datastoreItem xmlns:ds="http://schemas.openxmlformats.org/officeDocument/2006/customXml" ds:itemID="{0F3CEFBB-BB9F-4819-BC2E-074C2D3F71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dc9d20-b71f-4856-9479-006414ff5e84"/>
    <ds:schemaRef ds:uri="2b322f46-9662-42fc-bc17-091c716e9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42103D-F8A2-4768-8CB9-E75E029DB7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Intro</vt:lpstr>
      <vt:lpstr>Block Specification</vt:lpstr>
      <vt:lpstr>Early-Season Mahogany Budget</vt:lpstr>
      <vt:lpstr>Breakeven Return</vt:lpstr>
      <vt:lpstr>App A1. Capital Req</vt:lpstr>
      <vt:lpstr>App A2. Mach Etc Req</vt:lpstr>
      <vt:lpstr>App A3. Interest</vt:lpstr>
      <vt:lpstr>App A4. Depreciation</vt:lpstr>
      <vt:lpstr>App A5. Estab Costs</vt:lpstr>
      <vt:lpstr>App A6. Full Prod Costs</vt:lpstr>
      <vt:lpstr>App A7. Salv Value &amp; Dep Calc</vt:lpstr>
      <vt:lpstr>App A8. Amort Calc</vt:lpstr>
      <vt:lpstr>App A9. Data for tables</vt:lpstr>
      <vt:lpstr>'App A2. Mach Etc Req'!Print_Area</vt:lpstr>
      <vt:lpstr>'App A9. Data for tables'!Print_Area</vt:lpstr>
      <vt:lpstr>'Early-Season Mahogany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m_taylor</dc:creator>
  <cp:keywords/>
  <dc:description/>
  <cp:lastModifiedBy>Gallardo, R Karina</cp:lastModifiedBy>
  <cp:revision/>
  <dcterms:created xsi:type="dcterms:W3CDTF">2009-07-08T23:24:01Z</dcterms:created>
  <dcterms:modified xsi:type="dcterms:W3CDTF">2026-05-28T17:55:08Z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0x010100217D58288229BC4088569E048B6F0070</vt:lpwstr>
  </property>
</Properties>
</file>