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autoCompressPictures="0" defaultThemeVersion="124226"/>
  <mc:AlternateContent xmlns:mc="http://schemas.openxmlformats.org/markup-compatibility/2006">
    <mc:Choice Requires="x15">
      <x15ac:absPath xmlns:x15ac="http://schemas.microsoft.com/office/spreadsheetml/2010/11/ac" url="C:\Users\sgalinato\OneDrive - Washington State University (email.wsu.edu)\Projects-Ongoing\Enterprise Budgets\2024 Apple Update\2024 Apples Ent Budget Extension Publication\2024 Apple Spindle\"/>
    </mc:Choice>
  </mc:AlternateContent>
  <xr:revisionPtr revIDLastSave="0" documentId="13_ncr:1_{65861EF3-4C42-4D77-BD2F-1523D355F663}" xr6:coauthVersionLast="47" xr6:coauthVersionMax="47" xr10:uidLastSave="{00000000-0000-0000-0000-000000000000}"/>
  <bookViews>
    <workbookView xWindow="-108" yWindow="-108" windowWidth="23256" windowHeight="12456" xr2:uid="{AA9FF080-2CB7-4FB9-9BFE-C5F265EF5433}"/>
  </bookViews>
  <sheets>
    <sheet name="Intro" sheetId="10" r:id="rId1"/>
    <sheet name="Honeycrisp-Spindle Budget" sheetId="1" r:id="rId2"/>
    <sheet name="Price &amp; Yield Analysis" sheetId="9" r:id="rId3"/>
    <sheet name="Breakeven Return" sheetId="16" r:id="rId4"/>
    <sheet name="App1. Capital Req" sheetId="2" r:id="rId5"/>
    <sheet name="App2. Mach Etc Req" sheetId="11" r:id="rId6"/>
    <sheet name="App3&amp;4. Int&amp;Dep" sheetId="7" r:id="rId7"/>
    <sheet name="App5. Estab Costs" sheetId="3" r:id="rId8"/>
    <sheet name="App6. Full Prod Costs" sheetId="6" r:id="rId9"/>
    <sheet name="App7. Salv Value &amp; Dep Calc" sheetId="14" r:id="rId10"/>
    <sheet name="App8. Amort Calc" sheetId="8" r:id="rId11"/>
    <sheet name="App9. Data for tables" sheetId="13" r:id="rId12"/>
  </sheets>
  <definedNames>
    <definedName name="_xlnm.Print_Area" localSheetId="5">'App2. Mach Etc Req'!$B$2:$H$28</definedName>
    <definedName name="_xlnm.Print_Area" localSheetId="11">'App9. Data for tables'!$A$1:$J$79</definedName>
    <definedName name="_xlnm.Print_Area" localSheetId="1">'Honeycrisp-Spindle Budget'!$C$2:$J$62</definedName>
    <definedName name="_xlnm.Print_Area" localSheetId="0">Intro!$B$2:$L$10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8" i="1" l="1"/>
  <c r="I52" i="1" l="1"/>
  <c r="I31" i="1"/>
  <c r="I32" i="1"/>
  <c r="I30" i="1"/>
  <c r="I25" i="1"/>
  <c r="I24" i="1"/>
  <c r="I21" i="1"/>
  <c r="I22" i="1"/>
  <c r="I23" i="1"/>
  <c r="I20" i="1"/>
  <c r="I19" i="1"/>
  <c r="I18" i="1"/>
  <c r="I17" i="1"/>
  <c r="I16" i="1"/>
  <c r="I15" i="1"/>
  <c r="I14" i="1"/>
  <c r="I13" i="1"/>
  <c r="H52" i="1"/>
  <c r="H31" i="1"/>
  <c r="H32" i="1"/>
  <c r="H30" i="1"/>
  <c r="H25" i="1"/>
  <c r="H24" i="1"/>
  <c r="G23" i="1"/>
  <c r="H21" i="1"/>
  <c r="H22" i="1"/>
  <c r="H23" i="1"/>
  <c r="H20" i="1"/>
  <c r="H19" i="1"/>
  <c r="H18" i="1"/>
  <c r="H17" i="1"/>
  <c r="H16" i="1"/>
  <c r="H15" i="1"/>
  <c r="H14" i="1"/>
  <c r="H13" i="1"/>
  <c r="H12" i="1"/>
  <c r="H11" i="1"/>
  <c r="H10" i="1"/>
  <c r="G52" i="1"/>
  <c r="G31" i="1"/>
  <c r="G32" i="1"/>
  <c r="G30" i="1"/>
  <c r="G25" i="1"/>
  <c r="G24" i="1"/>
  <c r="G21" i="1"/>
  <c r="G22" i="1"/>
  <c r="G20" i="1"/>
  <c r="G19" i="1"/>
  <c r="G18" i="1"/>
  <c r="G17" i="1"/>
  <c r="G15" i="1"/>
  <c r="G14" i="1"/>
  <c r="G13" i="1"/>
  <c r="G12" i="1"/>
  <c r="G11" i="1"/>
  <c r="G10" i="1"/>
  <c r="C7" i="2"/>
  <c r="F52" i="1"/>
  <c r="F31" i="1"/>
  <c r="F32" i="1"/>
  <c r="F30" i="1"/>
  <c r="F25" i="1"/>
  <c r="F19" i="1"/>
  <c r="F18" i="1"/>
  <c r="F17" i="1"/>
  <c r="F15" i="1"/>
  <c r="F14" i="1"/>
  <c r="F13" i="1"/>
  <c r="F12" i="1"/>
  <c r="F11" i="1"/>
  <c r="F10" i="1"/>
  <c r="E52" i="1"/>
  <c r="E31" i="1"/>
  <c r="E32" i="1"/>
  <c r="E30" i="1"/>
  <c r="E25" i="1"/>
  <c r="E19" i="1"/>
  <c r="E17" i="1"/>
  <c r="E15" i="1"/>
  <c r="E14" i="1"/>
  <c r="E13" i="1"/>
  <c r="E12" i="1"/>
  <c r="E10" i="1"/>
  <c r="D52" i="1"/>
  <c r="C4" i="7"/>
  <c r="D31" i="1"/>
  <c r="D32" i="1"/>
  <c r="D30" i="1"/>
  <c r="D25" i="1"/>
  <c r="D19" i="1"/>
  <c r="D17" i="1"/>
  <c r="D15" i="1"/>
  <c r="D14" i="1"/>
  <c r="D13" i="1"/>
  <c r="D12" i="1"/>
  <c r="D10" i="1"/>
  <c r="D9" i="1"/>
  <c r="H5" i="14"/>
  <c r="H6" i="14"/>
  <c r="H7" i="14"/>
  <c r="H8" i="14"/>
  <c r="H9" i="14"/>
  <c r="H10" i="14"/>
  <c r="H11" i="14"/>
  <c r="H12" i="14"/>
  <c r="H13" i="14"/>
  <c r="H14" i="14"/>
  <c r="H15" i="14"/>
  <c r="H16" i="14"/>
  <c r="H17" i="14"/>
  <c r="H18" i="14"/>
  <c r="H19" i="14"/>
  <c r="H4" i="14"/>
  <c r="F25" i="6"/>
  <c r="F24" i="6"/>
  <c r="F23" i="6"/>
  <c r="F22" i="6"/>
  <c r="F21" i="6"/>
  <c r="F20" i="6"/>
  <c r="F19" i="6"/>
  <c r="F18" i="6"/>
  <c r="F17" i="6"/>
  <c r="F16" i="6"/>
  <c r="F15" i="6"/>
  <c r="F14" i="6"/>
  <c r="F13" i="6"/>
  <c r="F12" i="6"/>
  <c r="F11" i="6"/>
  <c r="F10" i="6"/>
  <c r="F9" i="6"/>
  <c r="F8" i="6"/>
  <c r="F7" i="6"/>
  <c r="F6" i="6"/>
  <c r="F4" i="6"/>
  <c r="G110" i="3"/>
  <c r="G109" i="3"/>
  <c r="G108" i="3"/>
  <c r="G107" i="3"/>
  <c r="G106" i="3"/>
  <c r="G105" i="3"/>
  <c r="G104" i="3"/>
  <c r="G103" i="3"/>
  <c r="G102" i="3"/>
  <c r="G101" i="3"/>
  <c r="G100" i="3"/>
  <c r="G99" i="3"/>
  <c r="G98" i="3"/>
  <c r="G97" i="3"/>
  <c r="G96" i="3"/>
  <c r="G95" i="3"/>
  <c r="G94" i="3"/>
  <c r="G93" i="3"/>
  <c r="G92" i="3"/>
  <c r="G91" i="3"/>
  <c r="G90" i="3"/>
  <c r="G89" i="3"/>
  <c r="G66" i="3"/>
  <c r="G68" i="3"/>
  <c r="G69" i="3"/>
  <c r="G70" i="3"/>
  <c r="G71" i="3"/>
  <c r="G72" i="3"/>
  <c r="G73" i="3"/>
  <c r="G74" i="3"/>
  <c r="G75" i="3"/>
  <c r="G76" i="3"/>
  <c r="G77" i="3"/>
  <c r="G78" i="3"/>
  <c r="G79" i="3"/>
  <c r="G80" i="3"/>
  <c r="G81" i="3"/>
  <c r="G82" i="3"/>
  <c r="G83" i="3"/>
  <c r="G84" i="3"/>
  <c r="G85" i="3"/>
  <c r="G86" i="3"/>
  <c r="G87" i="3"/>
  <c r="G88" i="3"/>
  <c r="G67" i="3"/>
  <c r="G50" i="3"/>
  <c r="G51" i="3"/>
  <c r="G52" i="3"/>
  <c r="G53" i="3"/>
  <c r="G54" i="3"/>
  <c r="G55" i="3"/>
  <c r="G56" i="3"/>
  <c r="G57" i="3"/>
  <c r="G58" i="3"/>
  <c r="G59" i="3"/>
  <c r="G60" i="3"/>
  <c r="G61" i="3"/>
  <c r="G62" i="3"/>
  <c r="G63" i="3"/>
  <c r="G64" i="3"/>
  <c r="G65" i="3"/>
  <c r="G34" i="3"/>
  <c r="G35" i="3"/>
  <c r="G36" i="3"/>
  <c r="G37" i="3"/>
  <c r="G38" i="3"/>
  <c r="G39" i="3"/>
  <c r="G40" i="3"/>
  <c r="G41" i="3"/>
  <c r="G42" i="3"/>
  <c r="G43" i="3"/>
  <c r="G44" i="3"/>
  <c r="G45" i="3"/>
  <c r="G46" i="3"/>
  <c r="G47" i="3"/>
  <c r="G48" i="3"/>
  <c r="G24" i="3"/>
  <c r="G25" i="3"/>
  <c r="G26" i="3"/>
  <c r="G27" i="3"/>
  <c r="G28" i="3"/>
  <c r="G29" i="3"/>
  <c r="G30" i="3"/>
  <c r="G31" i="3"/>
  <c r="G32" i="3"/>
  <c r="G6" i="3"/>
  <c r="G7" i="3"/>
  <c r="G8" i="3"/>
  <c r="G9" i="3"/>
  <c r="G10" i="3"/>
  <c r="G11" i="3"/>
  <c r="G12" i="3"/>
  <c r="G13" i="3"/>
  <c r="G14" i="3"/>
  <c r="G15" i="3"/>
  <c r="G16" i="3"/>
  <c r="G17" i="3"/>
  <c r="G20" i="3"/>
  <c r="G19" i="3"/>
  <c r="G5" i="3"/>
  <c r="H4" i="13"/>
  <c r="G64" i="13"/>
  <c r="F64" i="13"/>
  <c r="C10" i="9"/>
  <c r="C5" i="9"/>
  <c r="C6" i="9"/>
  <c r="C7" i="9"/>
  <c r="C8" i="9"/>
  <c r="C9" i="9"/>
  <c r="H6" i="1" l="1"/>
  <c r="I6" i="1"/>
  <c r="G6" i="1"/>
  <c r="G4" i="13"/>
  <c r="F4" i="13"/>
  <c r="D6" i="1" l="1"/>
  <c r="E6" i="1"/>
  <c r="F6" i="1"/>
  <c r="H61" i="13"/>
  <c r="G61" i="13"/>
  <c r="F61" i="13"/>
  <c r="C16" i="13"/>
  <c r="F41" i="3"/>
  <c r="F25" i="3"/>
  <c r="F24" i="3"/>
  <c r="C50" i="13"/>
  <c r="D52" i="13"/>
  <c r="C52" i="13"/>
  <c r="H41" i="3" l="1"/>
  <c r="H7" i="13"/>
  <c r="H62" i="13" l="1"/>
  <c r="H64" i="13" s="1"/>
  <c r="H3" i="13"/>
  <c r="G3" i="13"/>
  <c r="H6" i="13"/>
  <c r="G6" i="13"/>
  <c r="F6" i="13"/>
  <c r="C9" i="16" l="1"/>
  <c r="G7" i="13"/>
  <c r="F7" i="13"/>
  <c r="C82" i="13"/>
  <c r="C41" i="13" s="1"/>
  <c r="C83" i="13"/>
  <c r="C81" i="13"/>
  <c r="D82" i="13" l="1"/>
  <c r="E82" i="13" s="1"/>
  <c r="F82" i="13" s="1"/>
  <c r="G82" i="13" s="1"/>
  <c r="H82" i="13" s="1"/>
  <c r="H52" i="13" s="1"/>
  <c r="E41" i="13"/>
  <c r="H41" i="13"/>
  <c r="E52" i="13"/>
  <c r="F41" i="13"/>
  <c r="D41" i="13"/>
  <c r="G41" i="13"/>
  <c r="G52" i="13"/>
  <c r="F52" i="13"/>
  <c r="C5" i="8" l="1"/>
  <c r="F51" i="13"/>
  <c r="G51" i="13" s="1"/>
  <c r="H51" i="13" s="1"/>
  <c r="D58" i="13"/>
  <c r="E58" i="13" s="1"/>
  <c r="F58" i="13" s="1"/>
  <c r="G58" i="13" s="1"/>
  <c r="H58" i="13" s="1"/>
  <c r="D57" i="13"/>
  <c r="E57" i="13" s="1"/>
  <c r="F57" i="13" s="1"/>
  <c r="G57" i="13" s="1"/>
  <c r="H57" i="13" s="1"/>
  <c r="G56" i="13"/>
  <c r="H56" i="13" s="1"/>
  <c r="D55" i="13"/>
  <c r="E55" i="13" s="1"/>
  <c r="F55" i="13" s="1"/>
  <c r="G55" i="13" s="1"/>
  <c r="H55" i="13" s="1"/>
  <c r="D54" i="13"/>
  <c r="E54" i="13" s="1"/>
  <c r="F54" i="13" s="1"/>
  <c r="G54" i="13" s="1"/>
  <c r="H54" i="13" s="1"/>
  <c r="G53" i="13"/>
  <c r="H53" i="13" s="1"/>
  <c r="D69" i="13"/>
  <c r="E69" i="13" s="1"/>
  <c r="F69" i="13" s="1"/>
  <c r="G69" i="13" s="1"/>
  <c r="H69" i="13" s="1"/>
  <c r="D70" i="13"/>
  <c r="E70" i="13" s="1"/>
  <c r="F70" i="13" s="1"/>
  <c r="G70" i="13" s="1"/>
  <c r="H70" i="13" s="1"/>
  <c r="D71" i="13"/>
  <c r="E71" i="13" s="1"/>
  <c r="F71" i="13" s="1"/>
  <c r="G71" i="13" s="1"/>
  <c r="H71" i="13" s="1"/>
  <c r="D72" i="13"/>
  <c r="E72" i="13" s="1"/>
  <c r="F72" i="13" s="1"/>
  <c r="G72" i="13" s="1"/>
  <c r="H72" i="13" s="1"/>
  <c r="D68" i="13"/>
  <c r="E68" i="13" s="1"/>
  <c r="F68" i="13" s="1"/>
  <c r="G68" i="13" s="1"/>
  <c r="H68" i="13" s="1"/>
  <c r="D79" i="13" l="1"/>
  <c r="E79" i="13" s="1"/>
  <c r="F79" i="13" s="1"/>
  <c r="G79" i="13" s="1"/>
  <c r="H79" i="13" s="1"/>
  <c r="D78" i="13"/>
  <c r="E78" i="13" s="1"/>
  <c r="D77" i="13"/>
  <c r="E77" i="13" s="1"/>
  <c r="F77" i="13" s="1"/>
  <c r="G77" i="13" s="1"/>
  <c r="H77" i="13" s="1"/>
  <c r="F78" i="13" l="1"/>
  <c r="G78" i="13" s="1"/>
  <c r="H78" i="13" s="1"/>
  <c r="H25" i="3"/>
  <c r="H24" i="3"/>
  <c r="C4" i="9"/>
  <c r="C10" i="2" l="1"/>
  <c r="C11" i="7"/>
  <c r="C5" i="7"/>
  <c r="F6" i="2" s="1"/>
  <c r="F67" i="3"/>
  <c r="F66" i="3"/>
  <c r="H66" i="3" s="1"/>
  <c r="E13" i="6"/>
  <c r="G13" i="6" s="1"/>
  <c r="E4" i="6"/>
  <c r="F98" i="3"/>
  <c r="H98" i="3" s="1"/>
  <c r="F89" i="3"/>
  <c r="F76" i="3"/>
  <c r="H76" i="3" s="1"/>
  <c r="G4" i="6" l="1"/>
  <c r="H89" i="3"/>
  <c r="G16" i="1"/>
  <c r="H67" i="3"/>
  <c r="F57" i="3"/>
  <c r="H57" i="3" s="1"/>
  <c r="C38" i="13" l="1"/>
  <c r="F18" i="3" s="1"/>
  <c r="H18" i="3" s="1"/>
  <c r="C35" i="13" l="1"/>
  <c r="D83" i="13"/>
  <c r="D81" i="13"/>
  <c r="E81" i="13" s="1"/>
  <c r="F81" i="13" s="1"/>
  <c r="G81" i="13" s="1"/>
  <c r="H81" i="13" s="1"/>
  <c r="E83" i="13" l="1"/>
  <c r="E35" i="13" s="1"/>
  <c r="D38" i="13"/>
  <c r="F35" i="3" s="1"/>
  <c r="D35" i="13"/>
  <c r="H35" i="3" l="1"/>
  <c r="F83" i="13"/>
  <c r="E38" i="13"/>
  <c r="F51" i="3" s="1"/>
  <c r="H51" i="3" l="1"/>
  <c r="G83" i="13"/>
  <c r="F38" i="13"/>
  <c r="F70" i="3" s="1"/>
  <c r="F35" i="13"/>
  <c r="H70" i="3" l="1"/>
  <c r="H83" i="13"/>
  <c r="H35" i="13" s="1"/>
  <c r="G38" i="13"/>
  <c r="F92" i="3" s="1"/>
  <c r="G35" i="13"/>
  <c r="H92" i="3" l="1"/>
  <c r="C23" i="7"/>
  <c r="D23" i="7"/>
  <c r="E5" i="7"/>
  <c r="E23" i="7" l="1"/>
  <c r="G23" i="7" s="1"/>
  <c r="F37" i="1" s="1"/>
  <c r="H37" i="1" l="1"/>
  <c r="E37" i="1"/>
  <c r="G37" i="1"/>
  <c r="I37" i="1"/>
  <c r="D37" i="1"/>
  <c r="H67" i="13" l="1"/>
  <c r="G67" i="13"/>
  <c r="F67" i="13"/>
  <c r="H45" i="13"/>
  <c r="G45" i="13"/>
  <c r="F45" i="13"/>
  <c r="E45" i="13"/>
  <c r="D45" i="13"/>
  <c r="C45" i="13"/>
  <c r="H38" i="13"/>
  <c r="E7" i="6" s="1"/>
  <c r="H33" i="13"/>
  <c r="G33" i="13"/>
  <c r="F91" i="3" s="1"/>
  <c r="H91" i="3" s="1"/>
  <c r="F33" i="13"/>
  <c r="F69" i="3" s="1"/>
  <c r="H69" i="3" s="1"/>
  <c r="E33" i="13"/>
  <c r="F50" i="3" s="1"/>
  <c r="H50" i="3" s="1"/>
  <c r="F34" i="3"/>
  <c r="F17" i="3"/>
  <c r="D11" i="1" s="1"/>
  <c r="H31" i="13"/>
  <c r="G31" i="13"/>
  <c r="F31" i="13"/>
  <c r="E31" i="13"/>
  <c r="D31" i="13"/>
  <c r="C31" i="13"/>
  <c r="D29" i="13"/>
  <c r="E29" i="13"/>
  <c r="F29" i="13"/>
  <c r="G29" i="13"/>
  <c r="H29" i="13"/>
  <c r="C29" i="13"/>
  <c r="C19" i="13"/>
  <c r="C14" i="13"/>
  <c r="H34" i="3" l="1"/>
  <c r="E11" i="1"/>
  <c r="G7" i="6"/>
  <c r="I12" i="1"/>
  <c r="E10" i="3"/>
  <c r="E9" i="3"/>
  <c r="G49" i="3"/>
  <c r="G33" i="3"/>
  <c r="G23" i="3"/>
  <c r="G22" i="3"/>
  <c r="G21" i="3"/>
  <c r="H17" i="3"/>
  <c r="G4" i="3"/>
  <c r="F5" i="6"/>
  <c r="D27" i="7"/>
  <c r="D26" i="7"/>
  <c r="D25" i="7"/>
  <c r="D24" i="7"/>
  <c r="D22" i="7"/>
  <c r="E11" i="7"/>
  <c r="E10" i="7"/>
  <c r="E9" i="7"/>
  <c r="E8" i="7"/>
  <c r="E7" i="7"/>
  <c r="E6" i="7"/>
  <c r="E4" i="7"/>
  <c r="F11" i="3" l="1"/>
  <c r="H11" i="3" l="1"/>
  <c r="F8" i="3"/>
  <c r="H8" i="3" s="1"/>
  <c r="F7" i="3"/>
  <c r="H7" i="3" s="1"/>
  <c r="F17" i="11" l="1"/>
  <c r="C17" i="14" s="1"/>
  <c r="F17" i="14" l="1"/>
  <c r="G17" i="14" s="1"/>
  <c r="F58" i="3" l="1"/>
  <c r="D88" i="3"/>
  <c r="D110" i="3"/>
  <c r="C25" i="6"/>
  <c r="H58" i="3" l="1"/>
  <c r="D87" i="3"/>
  <c r="D109" i="3"/>
  <c r="C24" i="6"/>
  <c r="D24" i="6"/>
  <c r="D25" i="6"/>
  <c r="D22" i="6"/>
  <c r="D23" i="6"/>
  <c r="E10" i="6"/>
  <c r="G10" i="6" s="1"/>
  <c r="F95" i="3"/>
  <c r="F73" i="3"/>
  <c r="H73" i="3" s="1"/>
  <c r="F54" i="3"/>
  <c r="F38" i="3"/>
  <c r="F21" i="3"/>
  <c r="F4" i="11"/>
  <c r="F5" i="11"/>
  <c r="C5" i="14" s="1"/>
  <c r="F6" i="11"/>
  <c r="C6" i="14" s="1"/>
  <c r="F6" i="14" s="1"/>
  <c r="G6" i="14" s="1"/>
  <c r="F7" i="11"/>
  <c r="C7" i="14" s="1"/>
  <c r="F7" i="14" s="1"/>
  <c r="G7" i="14" s="1"/>
  <c r="F8" i="11"/>
  <c r="C8" i="14" s="1"/>
  <c r="F8" i="14" s="1"/>
  <c r="G8" i="14" s="1"/>
  <c r="F9" i="11"/>
  <c r="C9" i="14" s="1"/>
  <c r="F9" i="14" s="1"/>
  <c r="G9" i="14" s="1"/>
  <c r="F10" i="11"/>
  <c r="C10" i="14" s="1"/>
  <c r="F10" i="14" s="1"/>
  <c r="G10" i="14" s="1"/>
  <c r="F11" i="11"/>
  <c r="C11" i="14" s="1"/>
  <c r="F11" i="14" s="1"/>
  <c r="G11" i="14" s="1"/>
  <c r="F12" i="11"/>
  <c r="C12" i="14" s="1"/>
  <c r="F12" i="14" s="1"/>
  <c r="G12" i="14" s="1"/>
  <c r="F13" i="11"/>
  <c r="C13" i="14" s="1"/>
  <c r="F13" i="14" s="1"/>
  <c r="G13" i="14" s="1"/>
  <c r="F14" i="11"/>
  <c r="C14" i="14" s="1"/>
  <c r="F14" i="14" s="1"/>
  <c r="G14" i="14" s="1"/>
  <c r="F15" i="11"/>
  <c r="C15" i="14" s="1"/>
  <c r="F15" i="14" s="1"/>
  <c r="G15" i="14" s="1"/>
  <c r="F16" i="11"/>
  <c r="C16" i="14" s="1"/>
  <c r="F16" i="14" s="1"/>
  <c r="G16" i="14" s="1"/>
  <c r="F18" i="11"/>
  <c r="C18" i="14" s="1"/>
  <c r="F19" i="11"/>
  <c r="C19" i="14" s="1"/>
  <c r="F19" i="14" s="1"/>
  <c r="G19" i="14" s="1"/>
  <c r="E12" i="6"/>
  <c r="F71" i="3"/>
  <c r="H71" i="3" s="1"/>
  <c r="F68" i="3"/>
  <c r="F61" i="3"/>
  <c r="F40" i="3"/>
  <c r="F16" i="3"/>
  <c r="F14" i="3"/>
  <c r="F5" i="3"/>
  <c r="H5" i="3" s="1"/>
  <c r="F6" i="3"/>
  <c r="H6" i="3" s="1"/>
  <c r="D9" i="3"/>
  <c r="D10" i="3"/>
  <c r="F23" i="3"/>
  <c r="F19" i="3"/>
  <c r="H19" i="3" s="1"/>
  <c r="F20" i="3"/>
  <c r="H20" i="3" s="1"/>
  <c r="F28" i="3"/>
  <c r="F22" i="3"/>
  <c r="F27" i="3"/>
  <c r="C13" i="7"/>
  <c r="F5" i="7" s="1"/>
  <c r="G5" i="7" s="1"/>
  <c r="F12" i="3"/>
  <c r="H12" i="3" s="1"/>
  <c r="F13" i="3"/>
  <c r="H13" i="3" s="1"/>
  <c r="F15" i="3"/>
  <c r="F4" i="3"/>
  <c r="F29" i="3"/>
  <c r="F30" i="3"/>
  <c r="F31" i="3"/>
  <c r="F32" i="3"/>
  <c r="F45" i="3"/>
  <c r="F46" i="3"/>
  <c r="F47" i="3"/>
  <c r="F48" i="3"/>
  <c r="F33" i="3"/>
  <c r="F36" i="3"/>
  <c r="H36" i="3" s="1"/>
  <c r="F37" i="3"/>
  <c r="H37" i="3" s="1"/>
  <c r="F44" i="3"/>
  <c r="F39" i="3"/>
  <c r="F43" i="3"/>
  <c r="F62" i="3"/>
  <c r="F63" i="3"/>
  <c r="F64" i="3"/>
  <c r="F65" i="3"/>
  <c r="F49" i="3"/>
  <c r="F56" i="3"/>
  <c r="F52" i="3"/>
  <c r="H52" i="3" s="1"/>
  <c r="F53" i="3"/>
  <c r="H53" i="3" s="1"/>
  <c r="F55" i="3"/>
  <c r="E110" i="3"/>
  <c r="F60" i="3"/>
  <c r="F81" i="3"/>
  <c r="F82" i="3"/>
  <c r="F83" i="3"/>
  <c r="F84" i="3"/>
  <c r="F72" i="3"/>
  <c r="H72" i="3" s="1"/>
  <c r="F75" i="3"/>
  <c r="H75" i="3" s="1"/>
  <c r="F77" i="3"/>
  <c r="F80" i="3"/>
  <c r="F74" i="3"/>
  <c r="H74" i="3" s="1"/>
  <c r="D85" i="3"/>
  <c r="E85" i="3"/>
  <c r="D86" i="3"/>
  <c r="E86" i="3"/>
  <c r="E87" i="3"/>
  <c r="E88" i="3"/>
  <c r="F79" i="3"/>
  <c r="G4" i="1"/>
  <c r="G5" i="1"/>
  <c r="F103" i="3"/>
  <c r="F104" i="3"/>
  <c r="F105" i="3"/>
  <c r="F106" i="3"/>
  <c r="F90" i="3"/>
  <c r="F97" i="3"/>
  <c r="F93" i="3"/>
  <c r="H93" i="3" s="1"/>
  <c r="F94" i="3"/>
  <c r="H94" i="3" s="1"/>
  <c r="F99" i="3"/>
  <c r="F102" i="3"/>
  <c r="F96" i="3"/>
  <c r="D107" i="3"/>
  <c r="E107" i="3"/>
  <c r="D108" i="3"/>
  <c r="E108" i="3"/>
  <c r="E109" i="3"/>
  <c r="F101" i="3"/>
  <c r="H4" i="1"/>
  <c r="H5" i="1"/>
  <c r="C6" i="8"/>
  <c r="E18" i="6"/>
  <c r="G18" i="6" s="1"/>
  <c r="E19" i="6"/>
  <c r="G19" i="6" s="1"/>
  <c r="E20" i="6"/>
  <c r="E21" i="6"/>
  <c r="C22" i="6"/>
  <c r="C23" i="6"/>
  <c r="E5" i="6"/>
  <c r="E6" i="6"/>
  <c r="E8" i="6"/>
  <c r="G8" i="6" s="1"/>
  <c r="E9" i="6"/>
  <c r="G9" i="6" s="1"/>
  <c r="E14" i="6"/>
  <c r="E17" i="6"/>
  <c r="G17" i="6" s="1"/>
  <c r="E11" i="6"/>
  <c r="G11" i="6" s="1"/>
  <c r="E16" i="6"/>
  <c r="G16" i="6" s="1"/>
  <c r="C19" i="9"/>
  <c r="C20" i="9"/>
  <c r="I4" i="1"/>
  <c r="I5" i="1"/>
  <c r="G6" i="6" l="1"/>
  <c r="I11" i="1"/>
  <c r="G5" i="6"/>
  <c r="I10" i="1"/>
  <c r="G21" i="6"/>
  <c r="G20" i="6"/>
  <c r="G14" i="6"/>
  <c r="G12" i="6"/>
  <c r="H95" i="3"/>
  <c r="H104" i="3"/>
  <c r="H103" i="3"/>
  <c r="H96" i="3"/>
  <c r="H97" i="3"/>
  <c r="H101" i="3"/>
  <c r="H90" i="3"/>
  <c r="H106" i="3"/>
  <c r="H105" i="3"/>
  <c r="H102" i="3"/>
  <c r="H99" i="3"/>
  <c r="H83" i="3"/>
  <c r="H79" i="3"/>
  <c r="H82" i="3"/>
  <c r="H84" i="3"/>
  <c r="H80" i="3"/>
  <c r="H81" i="3"/>
  <c r="H68" i="3"/>
  <c r="H77" i="3"/>
  <c r="H62" i="3"/>
  <c r="H55" i="3"/>
  <c r="H63" i="3"/>
  <c r="H61" i="3"/>
  <c r="H56" i="3"/>
  <c r="H60" i="3"/>
  <c r="H49" i="3"/>
  <c r="H65" i="3"/>
  <c r="H54" i="3"/>
  <c r="H64" i="3"/>
  <c r="H45" i="3"/>
  <c r="H46" i="3"/>
  <c r="H39" i="3"/>
  <c r="H44" i="3"/>
  <c r="H33" i="3"/>
  <c r="H40" i="3"/>
  <c r="H43" i="3"/>
  <c r="H48" i="3"/>
  <c r="H47" i="3"/>
  <c r="H38" i="3"/>
  <c r="H22" i="3"/>
  <c r="H28" i="3"/>
  <c r="H30" i="3"/>
  <c r="H23" i="3"/>
  <c r="H31" i="3"/>
  <c r="H29" i="3"/>
  <c r="H32" i="3"/>
  <c r="H21" i="3"/>
  <c r="H27" i="3"/>
  <c r="H15" i="3"/>
  <c r="C9" i="2" s="1"/>
  <c r="H14" i="3"/>
  <c r="C8" i="2" s="1"/>
  <c r="H16" i="3"/>
  <c r="H4" i="3"/>
  <c r="E5" i="1"/>
  <c r="E7" i="1" s="1"/>
  <c r="D13" i="2" s="1"/>
  <c r="D5" i="1"/>
  <c r="D7" i="1" s="1"/>
  <c r="C13" i="2" s="1"/>
  <c r="F5" i="1"/>
  <c r="F7" i="1" s="1"/>
  <c r="E13" i="2" s="1"/>
  <c r="H7" i="1"/>
  <c r="G7" i="1"/>
  <c r="I7" i="1"/>
  <c r="I44" i="1"/>
  <c r="E44" i="1"/>
  <c r="H44" i="1"/>
  <c r="D44" i="1"/>
  <c r="G44" i="1"/>
  <c r="F44" i="1"/>
  <c r="C8" i="16"/>
  <c r="E15" i="6"/>
  <c r="F85" i="3"/>
  <c r="C4" i="14"/>
  <c r="F4" i="14" s="1"/>
  <c r="F20" i="11"/>
  <c r="C7" i="7" s="1"/>
  <c r="E23" i="6"/>
  <c r="E24" i="6"/>
  <c r="F88" i="3"/>
  <c r="E22" i="6"/>
  <c r="G22" i="6" s="1"/>
  <c r="C5" i="2"/>
  <c r="F18" i="14"/>
  <c r="G18" i="14" s="1"/>
  <c r="F5" i="14"/>
  <c r="G5" i="14" s="1"/>
  <c r="F107" i="3"/>
  <c r="F109" i="3"/>
  <c r="F9" i="3"/>
  <c r="H9" i="3" s="1"/>
  <c r="F108" i="3"/>
  <c r="F110" i="3"/>
  <c r="H110" i="3" s="1"/>
  <c r="F87" i="3"/>
  <c r="F86" i="3"/>
  <c r="F10" i="3"/>
  <c r="H10" i="3" s="1"/>
  <c r="G23" i="6" l="1"/>
  <c r="G15" i="6"/>
  <c r="G24" i="6"/>
  <c r="H109" i="3"/>
  <c r="H108" i="3"/>
  <c r="H107" i="3"/>
  <c r="H86" i="3"/>
  <c r="H85" i="3"/>
  <c r="H87" i="3"/>
  <c r="H88" i="3"/>
  <c r="D33" i="1"/>
  <c r="C4" i="2"/>
  <c r="I33" i="1"/>
  <c r="F33" i="1"/>
  <c r="H33" i="1"/>
  <c r="G33" i="1"/>
  <c r="E33" i="1"/>
  <c r="H13" i="2"/>
  <c r="F13" i="2"/>
  <c r="G13" i="2"/>
  <c r="F78" i="3"/>
  <c r="F59" i="3"/>
  <c r="F24" i="1" s="1"/>
  <c r="F42" i="3"/>
  <c r="E24" i="1" s="1"/>
  <c r="F100" i="3"/>
  <c r="F26" i="3"/>
  <c r="D24" i="1" s="1"/>
  <c r="F20" i="14"/>
  <c r="D7" i="7" s="1"/>
  <c r="F7" i="7" s="1"/>
  <c r="G7" i="7" s="1"/>
  <c r="D46" i="1" s="1"/>
  <c r="C9" i="7"/>
  <c r="F9" i="7" s="1"/>
  <c r="G9" i="7" s="1"/>
  <c r="C8" i="7"/>
  <c r="C24" i="7" s="1"/>
  <c r="E24" i="7" s="1"/>
  <c r="G24" i="7" s="1"/>
  <c r="G4" i="14"/>
  <c r="G20" i="14" s="1"/>
  <c r="C20" i="14"/>
  <c r="C27" i="7"/>
  <c r="E27" i="7" s="1"/>
  <c r="G27" i="7" s="1"/>
  <c r="C6" i="7"/>
  <c r="F6" i="7" s="1"/>
  <c r="G6" i="7" s="1"/>
  <c r="D45" i="1" s="1"/>
  <c r="E25" i="6"/>
  <c r="G25" i="6" l="1"/>
  <c r="H100" i="3"/>
  <c r="H78" i="3"/>
  <c r="H59" i="3"/>
  <c r="H42" i="3"/>
  <c r="H26" i="3"/>
  <c r="F42" i="1"/>
  <c r="D42" i="1"/>
  <c r="E42" i="1"/>
  <c r="I26" i="1"/>
  <c r="I27" i="1" s="1"/>
  <c r="I28" i="1" s="1"/>
  <c r="I34" i="1" s="1"/>
  <c r="C22" i="7"/>
  <c r="E22" i="7" s="1"/>
  <c r="G22" i="7" s="1"/>
  <c r="F36" i="1" s="1"/>
  <c r="H20" i="14"/>
  <c r="G28" i="7" s="1"/>
  <c r="F11" i="7"/>
  <c r="G11" i="7" s="1"/>
  <c r="C25" i="7"/>
  <c r="E25" i="7" s="1"/>
  <c r="G25" i="7" s="1"/>
  <c r="D40" i="1" s="1"/>
  <c r="H46" i="1"/>
  <c r="F46" i="1"/>
  <c r="E46" i="1"/>
  <c r="G46" i="1"/>
  <c r="I46" i="1"/>
  <c r="G26" i="1"/>
  <c r="G27" i="1" s="1"/>
  <c r="G28" i="1" s="1"/>
  <c r="G34" i="1" s="1"/>
  <c r="H26" i="1"/>
  <c r="H27" i="1" s="1"/>
  <c r="H28" i="1" s="1"/>
  <c r="H34" i="1" s="1"/>
  <c r="E26" i="1"/>
  <c r="E27" i="1" s="1"/>
  <c r="E28" i="1" s="1"/>
  <c r="E34" i="1" s="1"/>
  <c r="F8" i="7"/>
  <c r="G8" i="7" s="1"/>
  <c r="H47" i="1" s="1"/>
  <c r="F26" i="1"/>
  <c r="F27" i="1" s="1"/>
  <c r="F28" i="1" s="1"/>
  <c r="F45" i="1"/>
  <c r="C10" i="7"/>
  <c r="D26" i="1"/>
  <c r="D27" i="1" s="1"/>
  <c r="E45" i="1"/>
  <c r="G45" i="1"/>
  <c r="I45" i="1"/>
  <c r="H45" i="1"/>
  <c r="E48" i="1"/>
  <c r="G48" i="1"/>
  <c r="D48" i="1"/>
  <c r="H48" i="1"/>
  <c r="F48" i="1"/>
  <c r="I48" i="1"/>
  <c r="I42" i="1"/>
  <c r="G42" i="1"/>
  <c r="H42" i="1"/>
  <c r="H39" i="1"/>
  <c r="I39" i="1"/>
  <c r="D39" i="1"/>
  <c r="G39" i="1"/>
  <c r="F39" i="1"/>
  <c r="E39" i="1"/>
  <c r="F50" i="1" l="1"/>
  <c r="D50" i="1"/>
  <c r="E50" i="1"/>
  <c r="G35" i="1"/>
  <c r="H35" i="1"/>
  <c r="E35" i="1"/>
  <c r="I35" i="1"/>
  <c r="C5" i="16"/>
  <c r="F29" i="1"/>
  <c r="F34" i="1"/>
  <c r="G29" i="1"/>
  <c r="E29" i="1"/>
  <c r="H29" i="1"/>
  <c r="I29" i="1"/>
  <c r="F4" i="7"/>
  <c r="G4" i="7" s="1"/>
  <c r="G43" i="1" s="1"/>
  <c r="E11" i="2"/>
  <c r="E12" i="2" s="1"/>
  <c r="E36" i="1"/>
  <c r="H36" i="1"/>
  <c r="G36" i="1"/>
  <c r="D36" i="1"/>
  <c r="I36" i="1"/>
  <c r="H11" i="2"/>
  <c r="H12" i="2" s="1"/>
  <c r="C4" i="16"/>
  <c r="D4" i="16" s="1"/>
  <c r="E4" i="16" s="1"/>
  <c r="F11" i="2"/>
  <c r="F12" i="2" s="1"/>
  <c r="D11" i="2"/>
  <c r="D12" i="2" s="1"/>
  <c r="G11" i="2"/>
  <c r="G12" i="2" s="1"/>
  <c r="I38" i="1"/>
  <c r="D38" i="1"/>
  <c r="F38" i="1"/>
  <c r="G38" i="1"/>
  <c r="E38" i="1"/>
  <c r="H38" i="1"/>
  <c r="F40" i="1"/>
  <c r="G40" i="1"/>
  <c r="I50" i="1"/>
  <c r="H50" i="1"/>
  <c r="H40" i="1"/>
  <c r="E40" i="1"/>
  <c r="I40" i="1"/>
  <c r="I47" i="1"/>
  <c r="G50" i="1"/>
  <c r="E47" i="1"/>
  <c r="D47" i="1"/>
  <c r="G47" i="1"/>
  <c r="F47" i="1"/>
  <c r="C26" i="7"/>
  <c r="E26" i="7" s="1"/>
  <c r="G26" i="7" s="1"/>
  <c r="F10" i="7"/>
  <c r="G10" i="7" s="1"/>
  <c r="D28" i="1"/>
  <c r="F35" i="1" l="1"/>
  <c r="F43" i="1"/>
  <c r="D29" i="1"/>
  <c r="D34" i="1"/>
  <c r="D43" i="1"/>
  <c r="I43" i="1"/>
  <c r="H43" i="1"/>
  <c r="E43" i="1"/>
  <c r="C11" i="2"/>
  <c r="C12" i="2" s="1"/>
  <c r="F14" i="2"/>
  <c r="D5" i="16"/>
  <c r="E5" i="16" s="1"/>
  <c r="G14" i="2"/>
  <c r="D14" i="2"/>
  <c r="E14" i="2"/>
  <c r="H14" i="2"/>
  <c r="I49" i="1"/>
  <c r="G49" i="1"/>
  <c r="F49" i="1"/>
  <c r="E49" i="1"/>
  <c r="D49" i="1"/>
  <c r="H49" i="1"/>
  <c r="I41" i="1"/>
  <c r="I55" i="1" s="1"/>
  <c r="H41" i="1"/>
  <c r="H55" i="1" s="1"/>
  <c r="G41" i="1"/>
  <c r="G55" i="1" s="1"/>
  <c r="D41" i="1"/>
  <c r="F41" i="1"/>
  <c r="F55" i="1" s="1"/>
  <c r="E41" i="1"/>
  <c r="E55" i="1" s="1"/>
  <c r="D35" i="1" l="1"/>
  <c r="D55" i="1"/>
  <c r="D54" i="1"/>
  <c r="D56" i="1" s="1"/>
  <c r="D57" i="1" s="1"/>
  <c r="D59" i="1" s="1"/>
  <c r="E51" i="1" s="1"/>
  <c r="C6" i="16"/>
  <c r="D6" i="16" s="1"/>
  <c r="E6" i="16" s="1"/>
  <c r="C14" i="2"/>
  <c r="D58" i="1" l="1"/>
  <c r="E54" i="1"/>
  <c r="E56" i="1" l="1"/>
  <c r="E57" i="1" s="1"/>
  <c r="E58" i="1" l="1"/>
  <c r="E59" i="1"/>
  <c r="F51" i="1" s="1"/>
  <c r="F54" i="1" s="1"/>
  <c r="F56" i="1" s="1"/>
  <c r="F57" i="1" s="1"/>
  <c r="F58" i="1" s="1"/>
  <c r="F59" i="1" l="1"/>
  <c r="G51" i="1" s="1"/>
  <c r="G54" i="1" s="1"/>
  <c r="G56" i="1" l="1"/>
  <c r="G57" i="1" s="1"/>
  <c r="G58" i="1" l="1"/>
  <c r="G59" i="1"/>
  <c r="H51" i="1" s="1"/>
  <c r="H54" i="1" s="1"/>
  <c r="H56" i="1" l="1"/>
  <c r="H57" i="1" s="1"/>
  <c r="H59" i="1" s="1"/>
  <c r="C4" i="8" s="1"/>
  <c r="C8" i="8" s="1"/>
  <c r="H58" i="1" l="1"/>
  <c r="I53" i="1"/>
  <c r="C7" i="16" s="1"/>
  <c r="D7" i="16" s="1"/>
  <c r="E7" i="16" s="1"/>
  <c r="I54" i="1" l="1"/>
  <c r="I56" i="1" s="1"/>
  <c r="E10" i="9" l="1"/>
  <c r="D10" i="9"/>
  <c r="F10" i="9"/>
  <c r="G10" i="9"/>
  <c r="E8" i="9"/>
  <c r="F8" i="9"/>
  <c r="G8" i="9"/>
  <c r="D8" i="9"/>
  <c r="E4" i="9"/>
  <c r="G6" i="9"/>
  <c r="G4" i="9"/>
  <c r="E7" i="9"/>
  <c r="E5" i="9"/>
  <c r="F5" i="9"/>
  <c r="G5" i="9"/>
  <c r="E9" i="9"/>
  <c r="E6" i="9"/>
  <c r="F4" i="9"/>
  <c r="F7" i="9"/>
  <c r="G7" i="9"/>
  <c r="F6" i="9"/>
  <c r="F9" i="9"/>
  <c r="G9" i="9"/>
  <c r="I57" i="1"/>
  <c r="I58" i="1" s="1"/>
  <c r="D9" i="9"/>
  <c r="D4" i="9"/>
  <c r="D5" i="9"/>
  <c r="D7" i="9"/>
  <c r="D6" i="9"/>
</calcChain>
</file>

<file path=xl/sharedStrings.xml><?xml version="1.0" encoding="utf-8"?>
<sst xmlns="http://schemas.openxmlformats.org/spreadsheetml/2006/main" count="849" uniqueCount="491">
  <si>
    <t xml:space="preserve"> Year 1</t>
  </si>
  <si>
    <t>Year 2</t>
  </si>
  <si>
    <t>Year 3</t>
  </si>
  <si>
    <t>Year 4</t>
  </si>
  <si>
    <t>Trellis System</t>
  </si>
  <si>
    <t>Irrigation System</t>
  </si>
  <si>
    <t>Mainline &amp; Pump</t>
  </si>
  <si>
    <t>Pond</t>
  </si>
  <si>
    <t>Depreciation</t>
  </si>
  <si>
    <t>Trellis</t>
  </si>
  <si>
    <t>Beehives</t>
  </si>
  <si>
    <t>Interest</t>
  </si>
  <si>
    <t>Irrigation/Electric Charge</t>
  </si>
  <si>
    <t>Land</t>
  </si>
  <si>
    <t>Picking Labor</t>
  </si>
  <si>
    <t>Management Cost</t>
  </si>
  <si>
    <t>Total Fixed Costs</t>
  </si>
  <si>
    <t>ESTIMATED NET RETURNS</t>
  </si>
  <si>
    <t>Total Variable Costs</t>
  </si>
  <si>
    <t>Accumulated Establishment Costs</t>
  </si>
  <si>
    <t>Wind Machine</t>
  </si>
  <si>
    <t>Year 5</t>
  </si>
  <si>
    <t>Year 1</t>
  </si>
  <si>
    <t>Units per Acre</t>
  </si>
  <si>
    <t>Number of Acres</t>
  </si>
  <si>
    <t>4 wheeler</t>
  </si>
  <si>
    <t>Cost per Unit ($)</t>
  </si>
  <si>
    <t>Cost per Acre ($)</t>
  </si>
  <si>
    <t>Total Cost for Block ($)</t>
  </si>
  <si>
    <t>Interest Rate</t>
  </si>
  <si>
    <t>Total Purchase Price ($)</t>
  </si>
  <si>
    <t>Total Interest Cost ($)</t>
  </si>
  <si>
    <t>Total Value Per Acre ($)</t>
  </si>
  <si>
    <t>Soil Preparation</t>
  </si>
  <si>
    <t>Dollar amount to be amortized</t>
  </si>
  <si>
    <t>Amortized Amount Per Year</t>
  </si>
  <si>
    <t>Total Cost</t>
  </si>
  <si>
    <t>Architecture</t>
  </si>
  <si>
    <t>1.</t>
  </si>
  <si>
    <t>2.</t>
  </si>
  <si>
    <t>3.</t>
  </si>
  <si>
    <t>4.</t>
  </si>
  <si>
    <t>5.</t>
  </si>
  <si>
    <t>Speed sprayer</t>
  </si>
  <si>
    <t>Weed spray boom &amp; tank</t>
  </si>
  <si>
    <t>Fork lift</t>
  </si>
  <si>
    <t>Bin trailer</t>
  </si>
  <si>
    <t>6.</t>
  </si>
  <si>
    <t>Number of Units</t>
  </si>
  <si>
    <t>Tractor-70HP, 4WD</t>
  </si>
  <si>
    <t>Tractor-40HP, 4WD</t>
  </si>
  <si>
    <t>Land &amp; Property Taxes</t>
  </si>
  <si>
    <t>Instructions for Using the Spreadsheets</t>
  </si>
  <si>
    <r>
      <t xml:space="preserve">Values in </t>
    </r>
    <r>
      <rPr>
        <b/>
        <sz val="11"/>
        <rFont val="Times New Roman"/>
        <family val="1"/>
      </rPr>
      <t>black</t>
    </r>
    <r>
      <rPr>
        <sz val="11"/>
        <rFont val="Times New Roman"/>
        <family val="1"/>
      </rPr>
      <t xml:space="preserve"> are calculated using the input data and cannot be modified.</t>
    </r>
  </si>
  <si>
    <t xml:space="preserve">Budget Assumptions </t>
  </si>
  <si>
    <t>Hauling Apples</t>
  </si>
  <si>
    <t>Insurance (all farm)</t>
  </si>
  <si>
    <t>Fuel &amp; Lube</t>
  </si>
  <si>
    <t>Ladder-8'</t>
  </si>
  <si>
    <t>Mainline and Pump</t>
  </si>
  <si>
    <t>Trees (including labor)</t>
  </si>
  <si>
    <t>Establishment Costs (5%)</t>
  </si>
  <si>
    <t>Packing Costs (per bin)</t>
  </si>
  <si>
    <t>Total</t>
  </si>
  <si>
    <t>Overhead cost</t>
  </si>
  <si>
    <t>Interest cost</t>
  </si>
  <si>
    <t>Soil prep</t>
  </si>
  <si>
    <t>Trees</t>
  </si>
  <si>
    <t>Maintenance &amp; Repairs</t>
  </si>
  <si>
    <t>Irrigation/electric charge</t>
  </si>
  <si>
    <t>Management Overhead</t>
  </si>
  <si>
    <t>Cost per bee hive</t>
  </si>
  <si>
    <t>Number of bee hives per acre</t>
  </si>
  <si>
    <t>Cost of hauling, per bin</t>
  </si>
  <si>
    <t>Interest rate</t>
  </si>
  <si>
    <t>Establishment interest rate</t>
  </si>
  <si>
    <t>No. of years to borrow operating capital</t>
  </si>
  <si>
    <t>Total acres in block</t>
  </si>
  <si>
    <t>Total productive acres</t>
  </si>
  <si>
    <t>Planted trees per acre</t>
  </si>
  <si>
    <t>Total orchard acres</t>
  </si>
  <si>
    <t>Irrigation installation</t>
  </si>
  <si>
    <t>Cost of fertilizer - material</t>
  </si>
  <si>
    <t>Irrigation</t>
  </si>
  <si>
    <t>Fertilizer after Soil Prep</t>
  </si>
  <si>
    <t>Hours of irrigation labor</t>
  </si>
  <si>
    <t>Pruning and training</t>
  </si>
  <si>
    <t>Hours of frost protection (labor)</t>
  </si>
  <si>
    <t>Harvest per bin</t>
  </si>
  <si>
    <t>Packing Cost</t>
  </si>
  <si>
    <t>10.</t>
  </si>
  <si>
    <t>Cost of labor per hour</t>
  </si>
  <si>
    <t>Tree cost per unit</t>
  </si>
  <si>
    <t xml:space="preserve">Irrigation </t>
  </si>
  <si>
    <t>Beehive</t>
  </si>
  <si>
    <t>Wind machine</t>
  </si>
  <si>
    <t>Flail mower</t>
  </si>
  <si>
    <t>Hours of training</t>
  </si>
  <si>
    <t>Hours of pruning</t>
  </si>
  <si>
    <t>Hours of wind machine installation</t>
  </si>
  <si>
    <t xml:space="preserve">Interest on investment represents a 5% opportunity cost to the enterprise. These are forgone earnings for investing money in orchard, equipment and buildings rather than in an alternative activity. This also represents interest on funds borrowed to finance orchard, equipment, and building purchases. </t>
  </si>
  <si>
    <t xml:space="preserve">Hours to plant a tree </t>
  </si>
  <si>
    <t xml:space="preserve">Overhead </t>
  </si>
  <si>
    <t>Trellis (total cost)</t>
  </si>
  <si>
    <t>Laterals, sprinklers, sub-lines</t>
  </si>
  <si>
    <t>Installation labor</t>
  </si>
  <si>
    <t>Total Requirements ($)</t>
  </si>
  <si>
    <t>Receipts ($)</t>
  </si>
  <si>
    <t>Net Requirements ($)</t>
  </si>
  <si>
    <t>Tree density per acre</t>
  </si>
  <si>
    <t>Pick-up</t>
  </si>
  <si>
    <t>Miscellaneous supplies (lump sum)</t>
  </si>
  <si>
    <t>Miscellaneous Supplies</t>
  </si>
  <si>
    <t>Mainline</t>
  </si>
  <si>
    <t>Pumps (irrigation and frost), centrifugal</t>
  </si>
  <si>
    <t>Total Cost ($)</t>
  </si>
  <si>
    <t>Pack-out percentage</t>
  </si>
  <si>
    <t xml:space="preserve">Wind Machine </t>
  </si>
  <si>
    <t>Notes:</t>
  </si>
  <si>
    <t>The pond is installed in Year 1.</t>
  </si>
  <si>
    <t>10 feet</t>
  </si>
  <si>
    <t>Trellis system</t>
  </si>
  <si>
    <t>11.</t>
  </si>
  <si>
    <t>Notes</t>
  </si>
  <si>
    <t>Soil sample (custom)</t>
  </si>
  <si>
    <t>Fumigation (custom)</t>
  </si>
  <si>
    <t>Mainline, pump &amp; pond</t>
  </si>
  <si>
    <t>Irrigation system</t>
  </si>
  <si>
    <t>Wind machine &amp; alarm system</t>
  </si>
  <si>
    <t>Machinery repair (lump sum)</t>
  </si>
  <si>
    <t xml:space="preserve">All other labor. Excludes pruning, training, thinning, chemical &amp; fertilizer application, planting, irrigation labor, harvest. </t>
  </si>
  <si>
    <t>Other</t>
  </si>
  <si>
    <t xml:space="preserve">Average rate from transporting fruit from the orchard to the warehouse. </t>
  </si>
  <si>
    <t xml:space="preserve">Notes: </t>
  </si>
  <si>
    <t>Maintenance &amp; Repair</t>
  </si>
  <si>
    <t>Water</t>
  </si>
  <si>
    <t>Years of Useful Life</t>
  </si>
  <si>
    <t>Fuel and lube (lump sum including propane for wind machine)</t>
  </si>
  <si>
    <t>Irrigation Water</t>
  </si>
  <si>
    <t>Irrigation Water &amp; Electric Charge</t>
  </si>
  <si>
    <t>Including all fertilizer</t>
  </si>
  <si>
    <r>
      <t xml:space="preserve">Values in </t>
    </r>
    <r>
      <rPr>
        <sz val="11"/>
        <color indexed="53"/>
        <rFont val="Times New Roman"/>
        <family val="1"/>
      </rPr>
      <t>orange</t>
    </r>
    <r>
      <rPr>
        <sz val="11"/>
        <color indexed="8"/>
        <rFont val="Times New Roman"/>
        <family val="1"/>
      </rPr>
      <t xml:space="preserve"> are provided by growers who participated in the development of this budget. These values can be changed.  </t>
    </r>
  </si>
  <si>
    <t>Year 6 to 20 (Full Production)</t>
  </si>
  <si>
    <t>N/A</t>
  </si>
  <si>
    <t>Housing for manager</t>
  </si>
  <si>
    <t>Total packing charges per bin</t>
  </si>
  <si>
    <t>Receiving charge per bin</t>
  </si>
  <si>
    <t>Crop yield</t>
  </si>
  <si>
    <t>12.</t>
  </si>
  <si>
    <t>Mower-rotary (7 ft)</t>
  </si>
  <si>
    <t>Other Labor (checkers, tractor drivers, supervisors)</t>
  </si>
  <si>
    <t>Rootstock</t>
  </si>
  <si>
    <t>In-row Spacing</t>
  </si>
  <si>
    <t>Life of Planting</t>
  </si>
  <si>
    <t>Tree Density</t>
  </si>
  <si>
    <t>Machinery, Equipment, &amp; Building</t>
  </si>
  <si>
    <t>Housing for Manager</t>
  </si>
  <si>
    <t>Speed Sprayer</t>
  </si>
  <si>
    <t>Weed Spray Boom &amp; Tank</t>
  </si>
  <si>
    <t>Flail Mower</t>
  </si>
  <si>
    <t>Fork Lift</t>
  </si>
  <si>
    <t>Bin Trailer</t>
  </si>
  <si>
    <t>Between-row Spacing</t>
  </si>
  <si>
    <r>
      <t>Frost Protection (labor)</t>
    </r>
    <r>
      <rPr>
        <vertAlign val="superscript"/>
        <sz val="11"/>
        <rFont val="Times New Roman"/>
        <family val="1"/>
      </rPr>
      <t>E</t>
    </r>
  </si>
  <si>
    <t xml:space="preserve">A. Includes amortized establishment costs. Net return is what the grower receives after all costs (for example, production expenses and packing costs) have been accounted. </t>
  </si>
  <si>
    <r>
      <t>Net Yield (bins/acre)</t>
    </r>
    <r>
      <rPr>
        <b/>
        <vertAlign val="superscript"/>
        <sz val="11"/>
        <rFont val="Times New Roman"/>
        <family val="1"/>
      </rPr>
      <t>B</t>
    </r>
  </si>
  <si>
    <r>
      <t>Operating Expenses</t>
    </r>
    <r>
      <rPr>
        <vertAlign val="superscript"/>
        <sz val="11"/>
        <rFont val="Times New Roman"/>
        <family val="1"/>
      </rPr>
      <t>B</t>
    </r>
  </si>
  <si>
    <t>B. Operating expenses is the sum of the total variable costs, miscellaneous supplies, land and property taxes, insurance cost, and management cost.</t>
  </si>
  <si>
    <r>
      <t>Purchase Price ($)</t>
    </r>
    <r>
      <rPr>
        <b/>
        <vertAlign val="superscript"/>
        <sz val="11"/>
        <rFont val="Times New Roman"/>
        <family val="1"/>
      </rPr>
      <t>A</t>
    </r>
  </si>
  <si>
    <t>A. Purchase price corresponds to new machinery, equipment or building.</t>
  </si>
  <si>
    <r>
      <t>Machine Shop/Shed</t>
    </r>
    <r>
      <rPr>
        <vertAlign val="superscript"/>
        <sz val="11"/>
        <color theme="9" tint="-0.249977111117893"/>
        <rFont val="Times New Roman"/>
        <family val="1"/>
      </rPr>
      <t>B</t>
    </r>
  </si>
  <si>
    <t>4-Wheeler</t>
  </si>
  <si>
    <t>Pickup Truck</t>
  </si>
  <si>
    <r>
      <t>Miscellaneous Equipment</t>
    </r>
    <r>
      <rPr>
        <vertAlign val="superscript"/>
        <sz val="11"/>
        <color theme="9" tint="-0.249977111117893"/>
        <rFont val="Times New Roman"/>
        <family val="1"/>
      </rPr>
      <t>C</t>
    </r>
  </si>
  <si>
    <r>
      <t>Shop Equipment</t>
    </r>
    <r>
      <rPr>
        <vertAlign val="superscript"/>
        <sz val="11"/>
        <color theme="9" tint="-0.249977111117893"/>
        <rFont val="Times New Roman"/>
        <family val="1"/>
      </rPr>
      <t>D</t>
    </r>
  </si>
  <si>
    <t>B. Includes manager office, restroom, pesticide handling area and storage, dry storage, area for equipment cover, and shop bay for equipment work/repair.</t>
  </si>
  <si>
    <t>C. Includes mobile portable toilet (2), box blade, straight blade, quick connect loader, mechanical weeder, detachable bucket for loading fertilizer, gopher baiter, soil aerator, utility trailer and ladder trailer (2).</t>
  </si>
  <si>
    <t>D. Includes compressor, welder, pressure washer and miscellaneous tools.</t>
  </si>
  <si>
    <r>
      <t>Irrigation System</t>
    </r>
    <r>
      <rPr>
        <vertAlign val="superscript"/>
        <sz val="11"/>
        <rFont val="Times New Roman"/>
        <family val="1"/>
      </rPr>
      <t>C</t>
    </r>
  </si>
  <si>
    <r>
      <t>Machinery, Equipment, &amp; Building</t>
    </r>
    <r>
      <rPr>
        <vertAlign val="superscript"/>
        <sz val="11"/>
        <rFont val="Times New Roman"/>
        <family val="1"/>
      </rPr>
      <t>D,E</t>
    </r>
  </si>
  <si>
    <r>
      <t>Mainline &amp; Pump</t>
    </r>
    <r>
      <rPr>
        <vertAlign val="superscript"/>
        <sz val="11"/>
        <color indexed="8"/>
        <rFont val="Times New Roman"/>
        <family val="1"/>
      </rPr>
      <t>C</t>
    </r>
  </si>
  <si>
    <r>
      <t>Pond</t>
    </r>
    <r>
      <rPr>
        <vertAlign val="superscript"/>
        <sz val="11"/>
        <rFont val="Times New Roman"/>
        <family val="1"/>
      </rPr>
      <t>C</t>
    </r>
  </si>
  <si>
    <r>
      <t>Trellis</t>
    </r>
    <r>
      <rPr>
        <vertAlign val="superscript"/>
        <sz val="11"/>
        <color indexed="8"/>
        <rFont val="Times New Roman"/>
        <family val="1"/>
      </rPr>
      <t>C</t>
    </r>
  </si>
  <si>
    <r>
      <t>Wind Machine</t>
    </r>
    <r>
      <rPr>
        <vertAlign val="superscript"/>
        <sz val="11"/>
        <rFont val="Times New Roman"/>
        <family val="1"/>
      </rPr>
      <t>C</t>
    </r>
  </si>
  <si>
    <r>
      <t>Salvage Value ($)</t>
    </r>
    <r>
      <rPr>
        <b/>
        <vertAlign val="superscript"/>
        <sz val="11"/>
        <color indexed="8"/>
        <rFont val="Times New Roman"/>
        <family val="1"/>
      </rPr>
      <t>A</t>
    </r>
  </si>
  <si>
    <r>
      <t>Interest Cost Per Acre ($)</t>
    </r>
    <r>
      <rPr>
        <b/>
        <vertAlign val="superscript"/>
        <sz val="11"/>
        <color indexed="8"/>
        <rFont val="Times New Roman"/>
        <family val="1"/>
      </rPr>
      <t>B</t>
    </r>
  </si>
  <si>
    <t>A. Not applied to land because land is not a depreciable asset.</t>
  </si>
  <si>
    <t>B. Interest Cost is calculated as: (Total Purchase Price + Salvage Value)/2 x Interest Rate. For land, the calculation is: Total Purchase Price x Interest Rate, because there is no salvage value for land.</t>
  </si>
  <si>
    <t>D. Total area of the farm operation is 300 acres and the machinery, equipment, and building are used in the entire, diverse cultivar farm. Thus, the corresponding interest costs are divided by the total area (300 acres) to derive the interest cost per acre.</t>
  </si>
  <si>
    <r>
      <t>Depreciation Cost Per Acre ($/yr)</t>
    </r>
    <r>
      <rPr>
        <b/>
        <vertAlign val="superscript"/>
        <sz val="11"/>
        <color indexed="8"/>
        <rFont val="Times New Roman"/>
        <family val="1"/>
      </rPr>
      <t>A</t>
    </r>
  </si>
  <si>
    <r>
      <t>Machinery, Equipment, &amp; Building</t>
    </r>
    <r>
      <rPr>
        <vertAlign val="superscript"/>
        <sz val="11"/>
        <rFont val="Times New Roman"/>
        <family val="1"/>
      </rPr>
      <t>B</t>
    </r>
  </si>
  <si>
    <t>A. The depreciation cost is calculated as straight-line depreciation: (Total Purchase Price – Salvage Value)/Years of Use.</t>
  </si>
  <si>
    <r>
      <t>Number of years</t>
    </r>
    <r>
      <rPr>
        <vertAlign val="superscript"/>
        <sz val="11"/>
        <color indexed="8"/>
        <rFont val="Times New Roman"/>
        <family val="1"/>
      </rPr>
      <t>A</t>
    </r>
  </si>
  <si>
    <t xml:space="preserve">A. Total life of planting - establishment years </t>
  </si>
  <si>
    <r>
      <t>Machine shop/shed</t>
    </r>
    <r>
      <rPr>
        <vertAlign val="superscript"/>
        <sz val="11"/>
        <rFont val="Times New Roman"/>
        <family val="1"/>
      </rPr>
      <t>A</t>
    </r>
  </si>
  <si>
    <r>
      <t>Miscellaneous equipment</t>
    </r>
    <r>
      <rPr>
        <vertAlign val="superscript"/>
        <sz val="11"/>
        <rFont val="Times New Roman"/>
        <family val="1"/>
      </rPr>
      <t>B</t>
    </r>
  </si>
  <si>
    <r>
      <t>Shop equipment</t>
    </r>
    <r>
      <rPr>
        <vertAlign val="superscript"/>
        <sz val="11"/>
        <rFont val="Times New Roman"/>
        <family val="1"/>
      </rPr>
      <t>C</t>
    </r>
  </si>
  <si>
    <t>A. Includes manager office, restroom, pesticide handling area and storage, dry storage, area for equipment cover, and shop bay for equipment work/repair.</t>
  </si>
  <si>
    <t>B. Includes mobile portable toilet (2), box blade, straight blade, quick connect loader, mechanical weeder, detachable bucket for loading fertilizer, gopher baiter, soil aerator, utility trailer and ladder trailer (2).</t>
  </si>
  <si>
    <t>C. Includes compressor, welder, pressure washer and miscellaneous tools.</t>
  </si>
  <si>
    <t>D. Purchase price corresponds to new machinery, equipment or building.</t>
  </si>
  <si>
    <t>E. These values  in orange must be changed as applicable to own production setting.</t>
  </si>
  <si>
    <r>
      <t xml:space="preserve">F. </t>
    </r>
    <r>
      <rPr>
        <i/>
        <sz val="10"/>
        <rFont val="Times New Roman"/>
        <family val="1"/>
      </rPr>
      <t>Salvage Value</t>
    </r>
    <r>
      <rPr>
        <sz val="10"/>
        <rFont val="Times New Roman"/>
        <family val="1"/>
      </rPr>
      <t xml:space="preserve"> refers to the estimated value of an asset at the end of its useful life. In general, a salvage value will be a positive value. However, it may be zero if the asset will be used until it is completely worn out and will have no scrap value at the end of its useful life.</t>
    </r>
  </si>
  <si>
    <r>
      <t xml:space="preserve">G. </t>
    </r>
    <r>
      <rPr>
        <i/>
        <sz val="10"/>
        <rFont val="Times New Roman"/>
        <family val="1"/>
      </rPr>
      <t>Depreciation cost</t>
    </r>
    <r>
      <rPr>
        <sz val="10"/>
        <rFont val="Times New Roman"/>
        <family val="1"/>
      </rPr>
      <t xml:space="preserve"> is calculated as straight line depreciation: (Total Purchase Price – Salvage Value)/Years of Use.</t>
    </r>
  </si>
  <si>
    <r>
      <t>Expected useful life (years)</t>
    </r>
    <r>
      <rPr>
        <b/>
        <vertAlign val="superscript"/>
        <sz val="11"/>
        <rFont val="Times New Roman"/>
        <family val="1"/>
      </rPr>
      <t>E</t>
    </r>
  </si>
  <si>
    <r>
      <t>Annual Depreciation Cost ($)</t>
    </r>
    <r>
      <rPr>
        <b/>
        <vertAlign val="superscript"/>
        <sz val="11"/>
        <rFont val="Times New Roman"/>
        <family val="1"/>
      </rPr>
      <t>G</t>
    </r>
  </si>
  <si>
    <r>
      <t>Salvage Value ($)</t>
    </r>
    <r>
      <rPr>
        <b/>
        <vertAlign val="superscript"/>
        <sz val="11"/>
        <rFont val="Times New Roman"/>
        <family val="1"/>
      </rPr>
      <t>F</t>
    </r>
  </si>
  <si>
    <r>
      <t>Pruning and Training (labor)</t>
    </r>
    <r>
      <rPr>
        <vertAlign val="superscript"/>
        <sz val="11"/>
        <rFont val="Times New Roman"/>
        <family val="1"/>
      </rPr>
      <t>C</t>
    </r>
  </si>
  <si>
    <t>A. Includes land for roads and buildings.</t>
  </si>
  <si>
    <r>
      <t>Pruning and Training (labor)</t>
    </r>
    <r>
      <rPr>
        <vertAlign val="superscript"/>
        <sz val="11"/>
        <rFont val="Times New Roman"/>
        <family val="1"/>
      </rPr>
      <t>A</t>
    </r>
  </si>
  <si>
    <t>D. Includes all types of fertilizer used.</t>
  </si>
  <si>
    <t>Productive Block Size</t>
  </si>
  <si>
    <t>Rip and disk ground (custom)</t>
  </si>
  <si>
    <t>Fertilizer - material cost</t>
  </si>
  <si>
    <t>Fertilizer - labor hour</t>
  </si>
  <si>
    <t>Fertilizer - labor cost</t>
  </si>
  <si>
    <t>Pond and filters with liners (purchase and installation)</t>
  </si>
  <si>
    <t>Cost of picking labor, manual, per bin</t>
  </si>
  <si>
    <t>Cost of checking,tractor drivers and supervisors, manual, per bin</t>
  </si>
  <si>
    <t>Platforms</t>
  </si>
  <si>
    <t>Sunburn protection</t>
  </si>
  <si>
    <t>Hours of chemical thinning</t>
  </si>
  <si>
    <t>Miscellaneous labor (lump sum) - General labor</t>
  </si>
  <si>
    <t>Hours of fertilizer application</t>
  </si>
  <si>
    <r>
      <t>Annual Depreciation Cost per Acre ($)</t>
    </r>
    <r>
      <rPr>
        <b/>
        <vertAlign val="superscript"/>
        <sz val="11"/>
        <color theme="1"/>
        <rFont val="Times New Roman"/>
        <family val="1"/>
      </rPr>
      <t>H</t>
    </r>
  </si>
  <si>
    <t>H. Depreciation cost is divided by total farm acreage (300 acres) in order to derive the per acre cost.</t>
  </si>
  <si>
    <r>
      <t>Pond and filters with liners (custom)</t>
    </r>
    <r>
      <rPr>
        <vertAlign val="superscript"/>
        <sz val="11"/>
        <rFont val="Times New Roman"/>
        <family val="1"/>
      </rPr>
      <t>B</t>
    </r>
  </si>
  <si>
    <t>Labor rate</t>
  </si>
  <si>
    <t>Maintenance and repair start in Year 4</t>
  </si>
  <si>
    <t>Packout number of boxes per bin</t>
  </si>
  <si>
    <t>Total packing charges per bin is the sum of receiving charges (or "in charge") per bin and total box charges per bin.</t>
  </si>
  <si>
    <t>Cost ($/acre)</t>
  </si>
  <si>
    <t>D</t>
  </si>
  <si>
    <t>E</t>
  </si>
  <si>
    <t>G</t>
  </si>
  <si>
    <t>Net Yield (bin/acre) =</t>
  </si>
  <si>
    <t xml:space="preserve">B. Costs assume a lined pond.  </t>
  </si>
  <si>
    <t>Hours of hand thinning labor</t>
  </si>
  <si>
    <t>Chemicals</t>
  </si>
  <si>
    <t>Cost chemicals, materials</t>
  </si>
  <si>
    <t>Hours of chemical application</t>
  </si>
  <si>
    <t>13.</t>
  </si>
  <si>
    <t>14.</t>
  </si>
  <si>
    <t>15.</t>
  </si>
  <si>
    <t>With liners for water conservation</t>
  </si>
  <si>
    <t>Number of pounds per bin</t>
  </si>
  <si>
    <t>Charges per box</t>
  </si>
  <si>
    <t>Tree removal (custom)</t>
  </si>
  <si>
    <t>Thinning</t>
  </si>
  <si>
    <r>
      <t>Thinning (labor)</t>
    </r>
    <r>
      <rPr>
        <vertAlign val="superscript"/>
        <sz val="11"/>
        <rFont val="Times New Roman"/>
        <family val="1"/>
      </rPr>
      <t>D</t>
    </r>
  </si>
  <si>
    <t>D. Hand thinning and chemical thinning labor cost.</t>
  </si>
  <si>
    <r>
      <t>Chemicals</t>
    </r>
    <r>
      <rPr>
        <vertAlign val="superscript"/>
        <sz val="11"/>
        <rFont val="Times New Roman"/>
        <family val="1"/>
      </rPr>
      <t>E</t>
    </r>
  </si>
  <si>
    <t>E. Includes the costs of materials and labor.</t>
  </si>
  <si>
    <t>F. Includes all types of fertilizer used.</t>
  </si>
  <si>
    <t>Sunburn Protection - Reflective ground cloth</t>
  </si>
  <si>
    <r>
      <t>Frost Protection (labor)</t>
    </r>
    <r>
      <rPr>
        <vertAlign val="superscript"/>
        <sz val="11"/>
        <rFont val="Times New Roman"/>
        <family val="1"/>
      </rPr>
      <t>G</t>
    </r>
  </si>
  <si>
    <r>
      <t>Thinning (labor)</t>
    </r>
    <r>
      <rPr>
        <vertAlign val="superscript"/>
        <sz val="11"/>
        <rFont val="Times New Roman"/>
        <family val="1"/>
      </rPr>
      <t>B</t>
    </r>
  </si>
  <si>
    <t>B. Hand thinning and chemical thinning labor cost.</t>
  </si>
  <si>
    <r>
      <t>Chemicals</t>
    </r>
    <r>
      <rPr>
        <vertAlign val="superscript"/>
        <sz val="11"/>
        <rFont val="Times New Roman"/>
        <family val="1"/>
      </rPr>
      <t>C</t>
    </r>
  </si>
  <si>
    <t>C. Includes the costs of materials and labor.</t>
  </si>
  <si>
    <r>
      <t>General Farm Labor</t>
    </r>
    <r>
      <rPr>
        <vertAlign val="superscript"/>
        <sz val="11"/>
        <rFont val="Times New Roman"/>
        <family val="1"/>
      </rPr>
      <t>I</t>
    </r>
  </si>
  <si>
    <r>
      <t>Gross Yield (bins/acre)</t>
    </r>
    <r>
      <rPr>
        <b/>
        <vertAlign val="superscript"/>
        <sz val="11"/>
        <rFont val="Times New Roman"/>
        <family val="1"/>
      </rPr>
      <t>B</t>
    </r>
  </si>
  <si>
    <t xml:space="preserve">FOB price </t>
  </si>
  <si>
    <t>FOB packinghouse door price ($/bin)</t>
  </si>
  <si>
    <t>FOB packinghouse door price ($/40-lb box)</t>
  </si>
  <si>
    <t>The information in this publication serves as a general guide for a modern and well-managed Honeycrisp orchard as of 2024. To avoid unwarranted conclusions for any particular operation, closely examine the assumptions used. If they are not appropriate for your situation, adjust the costs and/or returns as appropriate.</t>
  </si>
  <si>
    <t>The Honeycrisp block specifications are as follows:</t>
  </si>
  <si>
    <t>20 years</t>
  </si>
  <si>
    <t>The area of the total farm operation is 300 acres of mixed conventional tree fruits. Bearing acres include: 225 acres of apples (75% of total area); 48 acres of sweet cherries (16%), and 27 acres of pears (9%).</t>
  </si>
  <si>
    <t>Insurance (crop and all farm)</t>
  </si>
  <si>
    <t>Insurance (crop and farm)</t>
  </si>
  <si>
    <t>Insurance Cost (crop and farm)</t>
  </si>
  <si>
    <t>Netting</t>
  </si>
  <si>
    <t>Deployment and roll back</t>
  </si>
  <si>
    <r>
      <t>Sunburn Protection - Netting</t>
    </r>
    <r>
      <rPr>
        <vertAlign val="superscript"/>
        <sz val="11"/>
        <rFont val="Times New Roman"/>
        <family val="1"/>
      </rPr>
      <t>C</t>
    </r>
  </si>
  <si>
    <t>Sunburn Protection - Netting</t>
  </si>
  <si>
    <r>
      <t>A.</t>
    </r>
    <r>
      <rPr>
        <vertAlign val="superscript"/>
        <sz val="10"/>
        <rFont val="Times New Roman"/>
        <family val="1"/>
      </rPr>
      <t xml:space="preserve"> </t>
    </r>
    <r>
      <rPr>
        <sz val="10"/>
        <rFont val="Times New Roman"/>
        <family val="1"/>
      </rPr>
      <t>The full production year is representative of all the remaining years the orchard is in full production (Year 6 to Year 20).</t>
    </r>
  </si>
  <si>
    <t>Manual ($/hour)</t>
  </si>
  <si>
    <t>Fertilizer application, frost protection labor</t>
  </si>
  <si>
    <t>Chemical application, irrigation labor</t>
  </si>
  <si>
    <t>Description</t>
  </si>
  <si>
    <t>70HP, 4WD</t>
  </si>
  <si>
    <t>40HP, 4WD</t>
  </si>
  <si>
    <t>2WD</t>
  </si>
  <si>
    <t>7 ft</t>
  </si>
  <si>
    <t>8 ft</t>
  </si>
  <si>
    <t>Mower-Rotary</t>
  </si>
  <si>
    <t>Full size</t>
  </si>
  <si>
    <t>Ladder</t>
  </si>
  <si>
    <t>Machinery, equipment, and building requirements are utilized in growing diverse crops in the 300-acre farm, which include Honeycrisp apples. The costs of fixed capital are allocated on the entire farm operation.</t>
  </si>
  <si>
    <t>A. Hand labor rate is $23.75/hour and includes applicable taxes and benefits. Applied to pruning, training and weed control.</t>
  </si>
  <si>
    <t>F. Chemical application labor and irrigation labor are $27.79/hour, including applicable taxes and benefits.</t>
  </si>
  <si>
    <t>E. Tractor/machinery or higher skilled labor rate is $24.75/hour and includes applicable taxes and benefits. This rate is also applied to fertilizer labor application (after soil preparation) and frost protection labor.</t>
  </si>
  <si>
    <t>G. Includes maintenance and repairs of mainline, pump and pond; irrigation system; trellis system; wind machine and alarm system and machinery.</t>
  </si>
  <si>
    <t>H. Fuel and Lube cost includes propane cost for wind machine.</t>
  </si>
  <si>
    <t>I. Refers to miscellaneous or all other labor (lump sum). Rate includes applicable taxes and benefits.</t>
  </si>
  <si>
    <t>J. Includes management salary, cellphone, gas, etc.</t>
  </si>
  <si>
    <r>
      <t>Management Overhead</t>
    </r>
    <r>
      <rPr>
        <vertAlign val="superscript"/>
        <sz val="11"/>
        <rFont val="Times New Roman"/>
        <family val="1"/>
      </rPr>
      <t>J</t>
    </r>
  </si>
  <si>
    <r>
      <t>Fuel &amp; Lube</t>
    </r>
    <r>
      <rPr>
        <vertAlign val="superscript"/>
        <sz val="11"/>
        <rFont val="Times New Roman"/>
        <family val="1"/>
      </rPr>
      <t>H</t>
    </r>
  </si>
  <si>
    <r>
      <t>Maintenance &amp; Repair</t>
    </r>
    <r>
      <rPr>
        <vertAlign val="superscript"/>
        <sz val="11"/>
        <rFont val="Times New Roman"/>
        <family val="1"/>
      </rPr>
      <t>G</t>
    </r>
  </si>
  <si>
    <r>
      <t>Irrigation Labor</t>
    </r>
    <r>
      <rPr>
        <vertAlign val="superscript"/>
        <sz val="11"/>
        <rFont val="Times New Roman"/>
        <family val="1"/>
      </rPr>
      <t>F</t>
    </r>
  </si>
  <si>
    <t>C. Hand labor rate is $23.75/hour and includes applicable taxes and benefits. Applied to pruning, training and weed control.</t>
  </si>
  <si>
    <t>G. Tractor/machinery or higher skilled labor rate is $24.75/hour and includes applicable taxes and benefits. This rate is applied to fertilizer labor application (after soil preparation) and frost protection labor.</t>
  </si>
  <si>
    <t>Gross Production per acre (lbs)</t>
  </si>
  <si>
    <t>Gross Production per acre (bins)</t>
  </si>
  <si>
    <t>G-41</t>
  </si>
  <si>
    <t>Train each level branches straight down to the wire</t>
  </si>
  <si>
    <t>By R. Karina Gallardo, Suzette P. Galinato and Bernardita Sallato</t>
  </si>
  <si>
    <t>Gross Production per acre (tons)</t>
  </si>
  <si>
    <t>Base = $50/bin plus paid rest and overtime. Higher labor cost compared to harvesting other cultivars due to the pre-sorting of Honeycrisp fruit in the field.</t>
  </si>
  <si>
    <t>What is the reasonable fruit size profile to assume in the study?</t>
  </si>
  <si>
    <t>Land cost (value of land with water rights)</t>
  </si>
  <si>
    <t>Includes removal, wood chipping, and incorporating in the soil.</t>
  </si>
  <si>
    <t>Considers overhead cooling with micro sprinklers.</t>
  </si>
  <si>
    <t>Depends heavily on the weather/season/location/could be anywhere from 0.4 to 25 hours. Use the lowest number in the range.</t>
  </si>
  <si>
    <t>Price per unit = $40,000; 1 unit per 10 acres</t>
  </si>
  <si>
    <t>Picking begins in Year 4</t>
  </si>
  <si>
    <t xml:space="preserve">Pack-out reflects that fruit is pre-sorted in the field. </t>
  </si>
  <si>
    <t>Base = $19.25/hour, plus H2A fixed cost = $4.50/hour</t>
  </si>
  <si>
    <t>Additional $1/hour to base rate of manual labor, plus H2A fixed cost</t>
  </si>
  <si>
    <t>Additional $1/hour to base rate of manual labor, plus H2A fixed cost, plus overtime (15% of $20.25/hour).</t>
  </si>
  <si>
    <t>Cultural practices and harvest activities are done by using a combination of manual labor, ladders and labor-enhancing equipment. The hourly manual labor rate for 2024 is $23.75/hour, calculated using the base Washington adverse wage rate for 2024 of $19.25/hour, plus H2A fixed cost of $4.50/hour. For fertilizer application and frost protection, labor rate is $24.75/hour, a dollar more than manual labor rate. For chemical application and irrigation, labor rate is $27.79/hour, including overtime and H2A fixed cost. Harvest labor rates follow the Agricultural Wage and Practices Employer Survey, plus mandated paid rest breaks and paid overtime. These labor rates are assumed the same for all years of production.</t>
  </si>
  <si>
    <t>Return over Variable Costs</t>
  </si>
  <si>
    <t>Total Fixed Cash Cost</t>
  </si>
  <si>
    <t>Total Cash Costs</t>
  </si>
  <si>
    <t>Return over Cash Costs</t>
  </si>
  <si>
    <t>Total Fixed Non-Cash Costs</t>
  </si>
  <si>
    <t>TOTAL RETURNS ($/acre)</t>
  </si>
  <si>
    <t>Return over Cash Costs and Depreciation</t>
  </si>
  <si>
    <t>The total value of bare agricultural land (including senior water rights) is $20,000 per acre with annual property taxes of $200 per acre.</t>
  </si>
  <si>
    <t>Bin size is 825 lb.</t>
  </si>
  <si>
    <t>Sunburn Protection - Netting (deploy and pull back)</t>
  </si>
  <si>
    <t>Sunburn Protection - Reflective ground cloth (deploy and pull back)</t>
  </si>
  <si>
    <t>This budget is based on a 27-acre Honeycrisp block within a 300-acre orchard. It is assumed that 1 acre of this block is dedicated to roads, pond, loading area, buildings, etc., rather than to fruit production. Therefore, the total productive area for this block is 26 acres.</t>
  </si>
  <si>
    <t>Land (27 acres)</t>
  </si>
  <si>
    <r>
      <t>Irrigation Labor</t>
    </r>
    <r>
      <rPr>
        <vertAlign val="superscript"/>
        <sz val="11"/>
        <rFont val="Times New Roman"/>
        <family val="1"/>
      </rPr>
      <t>I</t>
    </r>
  </si>
  <si>
    <t>H. There is no labor from Years 1 to 2 because fertilizer application is all done through fertigation.</t>
  </si>
  <si>
    <t>I. Chemical application labor and irrigation labor are $27.79/hour, including applicable taxes and benefits.</t>
  </si>
  <si>
    <r>
      <t>Irrigation LaborI</t>
    </r>
    <r>
      <rPr>
        <vertAlign val="superscript"/>
        <sz val="11"/>
        <rFont val="Times New Roman"/>
        <family val="1"/>
      </rPr>
      <t>I</t>
    </r>
  </si>
  <si>
    <r>
      <t>Wind Machine (unit and installation labor)</t>
    </r>
    <r>
      <rPr>
        <vertAlign val="superscript"/>
        <sz val="11"/>
        <rFont val="Times New Roman"/>
        <family val="1"/>
      </rPr>
      <t>J</t>
    </r>
  </si>
  <si>
    <t>J. Wind machine installation labor is $20.25/hour and includes applicable taxes and benefits.</t>
  </si>
  <si>
    <t>K. Includes maintenance and repairs of mainline, pump and pond; irrigation system; trellis system; wind machine and alarm system and machinery.</t>
  </si>
  <si>
    <r>
      <t>Maintenance &amp; Repair</t>
    </r>
    <r>
      <rPr>
        <vertAlign val="superscript"/>
        <sz val="11"/>
        <rFont val="Times New Roman"/>
        <family val="1"/>
      </rPr>
      <t>K</t>
    </r>
  </si>
  <si>
    <t>L. Fuel and lube cost includes propane cost for wind machine starting Year 3.</t>
  </si>
  <si>
    <r>
      <t>Fuel &amp; Lube</t>
    </r>
    <r>
      <rPr>
        <vertAlign val="superscript"/>
        <sz val="11"/>
        <rFont val="Times New Roman"/>
        <family val="1"/>
      </rPr>
      <t>L</t>
    </r>
  </si>
  <si>
    <r>
      <t>General Farm Labor</t>
    </r>
    <r>
      <rPr>
        <vertAlign val="superscript"/>
        <sz val="11"/>
        <rFont val="Times New Roman"/>
        <family val="1"/>
      </rPr>
      <t>M</t>
    </r>
  </si>
  <si>
    <t>M.  Refers to miscellaneous or all other labor (lump sum). Rate includes applicable taxes and benefits.</t>
  </si>
  <si>
    <t>N. Includes management salary, cellphone, gas, etc.</t>
  </si>
  <si>
    <r>
      <t>Management Overhead</t>
    </r>
    <r>
      <rPr>
        <vertAlign val="superscript"/>
        <sz val="11"/>
        <rFont val="Times New Roman"/>
        <family val="1"/>
      </rPr>
      <t>N</t>
    </r>
  </si>
  <si>
    <t xml:space="preserve">26 acres </t>
  </si>
  <si>
    <t>Includes Geneva tree royalty to rootstock; 1/2 caliper</t>
  </si>
  <si>
    <t>Considering the value of land where there had been fruit trees. The trees are removed to plant the Honeycrisp block.</t>
  </si>
  <si>
    <t>Based on an 825-lb bin</t>
  </si>
  <si>
    <t>B. Assumes an 825-lb bin. Considers an average pack-out of:</t>
  </si>
  <si>
    <t xml:space="preserve">All chemicals (fungicide, fireblight prevention, disease prevention, insecticide, herbicide. </t>
  </si>
  <si>
    <t>All foliar and ground fertilizer.</t>
  </si>
  <si>
    <t>Wind Machine (cost of units per acre) installed in Year 1</t>
  </si>
  <si>
    <t>5-year average FOB price between 2019 and 2024.</t>
  </si>
  <si>
    <t>No labor during Years 1-2 because fertilizer application is done through fertigation. In Years 3-Full Prod, costs based on 1 broadcast application.</t>
  </si>
  <si>
    <r>
      <t xml:space="preserve">Warehouse packing charges assume an 825-lb bin. </t>
    </r>
    <r>
      <rPr>
        <i/>
        <sz val="11"/>
        <rFont val="Times New Roman"/>
        <family val="1"/>
      </rPr>
      <t>(Please note that the bin size in previous Honeycrisp enterprise budgets was 690 lb. If comparisons are to be made with this budget and previous ones, a conversion to the 'per pound' or 'per box' basis must be made.)</t>
    </r>
  </si>
  <si>
    <t>Shaded area denotes positive net returns based on the combination of net yield and price.</t>
  </si>
  <si>
    <r>
      <t xml:space="preserve">Values in </t>
    </r>
    <r>
      <rPr>
        <sz val="10"/>
        <color theme="9" tint="-0.249977111117893"/>
        <rFont val="Times New Roman"/>
        <family val="1"/>
      </rPr>
      <t>orange</t>
    </r>
    <r>
      <rPr>
        <sz val="10"/>
        <rFont val="Times New Roman"/>
        <family val="1"/>
      </rPr>
      <t xml:space="preserve"> can be modified. Values in black are calculations.</t>
    </r>
  </si>
  <si>
    <t>B</t>
  </si>
  <si>
    <t xml:space="preserve">B. If the return is below this level, Honeycrisp apples are uneconomical to produce. </t>
  </si>
  <si>
    <t>Number of 40-lb boxes per bin =</t>
  </si>
  <si>
    <t>The irrigation system consists of under-tree double drip lines and a sprinkler system for under-tree cover crop or overhead cooling, with two separate sub-main lines. Water is provided through a public irrigation district.</t>
  </si>
  <si>
    <t xml:space="preserve">Management salary is valued at $750 per acre. </t>
  </si>
  <si>
    <t>3 feet</t>
  </si>
  <si>
    <t>1,452 trees per acre</t>
  </si>
  <si>
    <t>Vertical spindle (height 11.5 feet, 7 wires, metal post every 30 ft)</t>
  </si>
  <si>
    <t>D. The second break-even return allows the producer to stay in business in the short run.</t>
  </si>
  <si>
    <t>E. The third break-even return allows the producer to stay in business in the long run.</t>
  </si>
  <si>
    <r>
      <t xml:space="preserve">G. The fourth break-even return is the </t>
    </r>
    <r>
      <rPr>
        <b/>
        <sz val="10"/>
        <color rgb="FF000000"/>
        <rFont val="Times New Roman"/>
        <family val="1"/>
      </rPr>
      <t>total cost break-even return</t>
    </r>
    <r>
      <rPr>
        <sz val="10"/>
        <color indexed="8"/>
        <rFont val="Times New Roman"/>
        <family val="1"/>
      </rPr>
      <t xml:space="preserve">. Only when this break-even return is received can the grower recover all out-of-pocket expenses </t>
    </r>
    <r>
      <rPr>
        <u/>
        <sz val="10"/>
        <color indexed="8"/>
        <rFont val="Times New Roman"/>
        <family val="1"/>
      </rPr>
      <t>plus</t>
    </r>
    <r>
      <rPr>
        <sz val="10"/>
        <color indexed="8"/>
        <rFont val="Times New Roman"/>
        <family val="1"/>
      </rPr>
      <t xml:space="preserve"> opportunity costs. </t>
    </r>
  </si>
  <si>
    <r>
      <t>Estimated Net Production (bins/acre)</t>
    </r>
    <r>
      <rPr>
        <vertAlign val="superscript"/>
        <sz val="11"/>
        <rFont val="Times New Roman"/>
        <family val="1"/>
      </rPr>
      <t>A</t>
    </r>
  </si>
  <si>
    <r>
      <t>Pruning &amp; Training</t>
    </r>
    <r>
      <rPr>
        <vertAlign val="superscript"/>
        <sz val="11"/>
        <rFont val="Times New Roman"/>
        <family val="1"/>
      </rPr>
      <t>C</t>
    </r>
  </si>
  <si>
    <r>
      <t>Thinning</t>
    </r>
    <r>
      <rPr>
        <vertAlign val="superscript"/>
        <sz val="11"/>
        <rFont val="Times New Roman"/>
        <family val="1"/>
      </rPr>
      <t>D</t>
    </r>
  </si>
  <si>
    <r>
      <t>Chemicals</t>
    </r>
    <r>
      <rPr>
        <vertAlign val="superscript"/>
        <sz val="11"/>
        <rFont val="Times New Roman"/>
        <family val="1"/>
      </rPr>
      <t>E,F</t>
    </r>
  </si>
  <si>
    <r>
      <t>Fertilizer</t>
    </r>
    <r>
      <rPr>
        <vertAlign val="superscript"/>
        <sz val="11"/>
        <rFont val="Times New Roman"/>
        <family val="1"/>
      </rPr>
      <t>E,F</t>
    </r>
  </si>
  <si>
    <r>
      <t>Sunburn Protection</t>
    </r>
    <r>
      <rPr>
        <vertAlign val="superscript"/>
        <sz val="11"/>
        <rFont val="Times New Roman"/>
        <family val="1"/>
      </rPr>
      <t>G</t>
    </r>
  </si>
  <si>
    <r>
      <t>Frost Protection (labor)</t>
    </r>
    <r>
      <rPr>
        <vertAlign val="superscript"/>
        <sz val="11"/>
        <rFont val="Times New Roman"/>
        <family val="1"/>
      </rPr>
      <t>F</t>
    </r>
  </si>
  <si>
    <r>
      <t>General Farm Labor</t>
    </r>
    <r>
      <rPr>
        <vertAlign val="superscript"/>
        <sz val="11"/>
        <rFont val="Times New Roman"/>
        <family val="1"/>
      </rPr>
      <t>H</t>
    </r>
  </si>
  <si>
    <r>
      <t>Warehouse Packing Charges</t>
    </r>
    <r>
      <rPr>
        <vertAlign val="superscript"/>
        <sz val="11"/>
        <color indexed="8"/>
        <rFont val="Times New Roman"/>
        <family val="1"/>
      </rPr>
      <t>J</t>
    </r>
  </si>
  <si>
    <r>
      <t>Overhead (5% of Variable Costs)</t>
    </r>
    <r>
      <rPr>
        <vertAlign val="superscript"/>
        <sz val="11"/>
        <rFont val="Times New Roman"/>
        <family val="1"/>
      </rPr>
      <t>K</t>
    </r>
  </si>
  <si>
    <r>
      <t>Interest (5% of Variable Costs)</t>
    </r>
    <r>
      <rPr>
        <vertAlign val="superscript"/>
        <sz val="11"/>
        <rFont val="Times New Roman"/>
        <family val="1"/>
      </rPr>
      <t>L</t>
    </r>
  </si>
  <si>
    <r>
      <t>Land</t>
    </r>
    <r>
      <rPr>
        <vertAlign val="superscript"/>
        <sz val="11"/>
        <rFont val="Times New Roman"/>
        <family val="1"/>
      </rPr>
      <t>M</t>
    </r>
  </si>
  <si>
    <r>
      <t>Amortized Establishment Costs</t>
    </r>
    <r>
      <rPr>
        <vertAlign val="superscript"/>
        <sz val="11"/>
        <rFont val="Times New Roman"/>
        <family val="1"/>
      </rPr>
      <t>N</t>
    </r>
  </si>
  <si>
    <t>B. These are packinghouse door prices. They reflect the return before any expenses are subtracted. Bin size is 825 lb. Both the per-bin price and per-40-lb box price are provided for convenience, but the per-bin price is used to calculate the Total Returns.</t>
  </si>
  <si>
    <t>C. Hand labor rate is $23.75/hour and includes all applicable taxes and benefits.</t>
  </si>
  <si>
    <t>E. Includes materials and labor.</t>
  </si>
  <si>
    <t xml:space="preserve">F. Tractor/machinery labor for chemical application and irrigation is $27.79 per hour. Labor for fertilizer application and frost protection is $24.75/hour and includes all applicable taxes and benefits. </t>
  </si>
  <si>
    <t>G. Labor cost to deploy and pull back.</t>
  </si>
  <si>
    <t>H. General farm labor rate is a lump sum per acre and applied to miscellaneous/all other labor. The rate includes applicable taxes and benefits.</t>
  </si>
  <si>
    <t>I. Picking rate = $62/bin; Checkers &amp; tractor drivers' rate = $11/bin; Hauling rate = $11/bin (hauling refers to transportation cost from the orchard to the warehouse. It is assumed that the warehouse will cover additional transportation expenses (if any) when the orchard is located in remote areas.</t>
  </si>
  <si>
    <t>K. Captures indirect costs of operations in the orchard that fluctuate with the level of production but are not accounted by the variable costs already identified. Also captures unforeseeable expenses.</t>
  </si>
  <si>
    <t>L. Interest expense on full year during establishment years and for 3/4 of a year during full production.</t>
  </si>
  <si>
    <t>M. Land cost is approximated by using the 5% interest rate multiplied by the land value of $20,000 per acre.</t>
  </si>
  <si>
    <t>N. Represents the costs incurred during the establishment years (minus revenues during those years) that must be recaptured during the full production years. It is calculated as: accumulated establishment costs in Year 5 amortized at 5% for 15 years.</t>
  </si>
  <si>
    <t>2024 Cost and Return Estimates of Establishing, Producing and Packing Honeycrisp Apples Grown on Vertical Spindle Trellis System in Washington</t>
  </si>
  <si>
    <t>J. Packing charges include receiving charges per bin plus total box charges per bin. Pack-out number of boxes per bin is about 15.</t>
  </si>
  <si>
    <t>The gross return is $44 per 40-lb box or $660 per 825-lb bin.</t>
  </si>
  <si>
    <t>Average pack-out for Honeycrisp is 50% in Year 4 and 72% in Year 5 and onwards.</t>
  </si>
  <si>
    <t>A. Estimated net production considers an average pack-out of 50% or 10 boxes/bin in Year 4, and 72% or about 15 boxes/bin in Year 5 and onwards.</t>
  </si>
  <si>
    <t>C. The irrigation system, netting for sunburn protection, mainline and pump, pond, trellis system and wind machine are used for the direct production of  the fruit. Hence, their respective interest costs are divided by the production area (26 acres) to get the interest cost per acre.</t>
  </si>
  <si>
    <t>The main data source for the calculations is Appendix 5 (Data for tables). Changing the orange-colored values in Appendix Table 9, as well as in other worksheets (Mach Etc Req., Int&amp;Dep, Salv Value &amp; Dep Calc, and Amort Calc) will automatically change the values in the remaining worksheets, including the summary table, "Honeycrisp-Spindle Budget".</t>
  </si>
  <si>
    <t>Block Specification</t>
  </si>
  <si>
    <t>Return or Cost</t>
  </si>
  <si>
    <t>Description or Activity</t>
  </si>
  <si>
    <t>Years 6 to 20 (Full Production, Annual Average)</t>
  </si>
  <si>
    <t>Yield</t>
  </si>
  <si>
    <t>Price</t>
  </si>
  <si>
    <r>
      <t xml:space="preserve">Estimated FOB Price in $/bin </t>
    </r>
    <r>
      <rPr>
        <vertAlign val="superscript"/>
        <sz val="11"/>
        <rFont val="Times New Roman"/>
        <family val="1"/>
      </rPr>
      <t>B</t>
    </r>
  </si>
  <si>
    <r>
      <t xml:space="preserve">Estimated FOB Price in $/40 lb box </t>
    </r>
    <r>
      <rPr>
        <vertAlign val="superscript"/>
        <sz val="11"/>
        <rFont val="Times New Roman"/>
        <family val="1"/>
      </rPr>
      <t>B</t>
    </r>
  </si>
  <si>
    <t xml:space="preserve">Return  </t>
  </si>
  <si>
    <t>Variable cost</t>
  </si>
  <si>
    <t xml:space="preserve">Sum of all variable costs  </t>
  </si>
  <si>
    <t>Return</t>
  </si>
  <si>
    <t>Fixed cash cost</t>
  </si>
  <si>
    <t>Sum of fixed cash costs</t>
  </si>
  <si>
    <t>Sum of all variable costs and fixed cash costs</t>
  </si>
  <si>
    <t>Other fixed cost</t>
  </si>
  <si>
    <t>Sum of depreciation, interest and other fixed costs</t>
  </si>
  <si>
    <t>Sum of fixed cash and non-cash costs</t>
  </si>
  <si>
    <t>Sum of all costs</t>
  </si>
  <si>
    <t>TOTAL PRODUCTION COSTS</t>
  </si>
  <si>
    <t>Total returns minus total production costs</t>
  </si>
  <si>
    <t>Establishment cost</t>
  </si>
  <si>
    <t>Net returns at $480/bin</t>
  </si>
  <si>
    <t>Net returns at $704/bin</t>
  </si>
  <si>
    <t>Net returns at $752/bin</t>
  </si>
  <si>
    <t>Net returns at $784/bin</t>
  </si>
  <si>
    <t>FOB price, $/bin 1</t>
  </si>
  <si>
    <t>FOB price, $/bin 2</t>
  </si>
  <si>
    <t>FOB price, $/bin 3</t>
  </si>
  <si>
    <t>FOB price, $/bin 4</t>
  </si>
  <si>
    <t>There are 15 40-lb boxes per bin. The equivalent free on board (FOB) price per 40-lb box from left to right are: 32, 47, 50 and 52, respectively.</t>
  </si>
  <si>
    <t>From left to right, the minimum, average, median and maximum annual FOB prices of Honeycrisp between 2019 and 2024 are used (Source: WSTFA). Both prices in terms of bin ans 40-lb box are provided for convenience, but the price per bin is used to calculate the net returns.</t>
  </si>
  <si>
    <t>1. Total Variable Costs</t>
  </si>
  <si>
    <r>
      <t>2. Total Cash Costs</t>
    </r>
    <r>
      <rPr>
        <vertAlign val="superscript"/>
        <sz val="11"/>
        <rFont val="Times New Roman"/>
        <family val="1"/>
      </rPr>
      <t>C</t>
    </r>
  </si>
  <si>
    <t>3. Total Cash Costs + Depreciation Costs</t>
  </si>
  <si>
    <r>
      <t>4. Total Cost</t>
    </r>
    <r>
      <rPr>
        <vertAlign val="superscript"/>
        <sz val="11"/>
        <rFont val="Times New Roman"/>
        <family val="1"/>
      </rPr>
      <t>F</t>
    </r>
  </si>
  <si>
    <t>Levels of Enterprise Costs</t>
  </si>
  <si>
    <r>
      <t>Break-even Return</t>
    </r>
    <r>
      <rPr>
        <b/>
        <vertAlign val="superscript"/>
        <sz val="11"/>
        <rFont val="Times New Roman"/>
        <family val="1"/>
      </rPr>
      <t>A</t>
    </r>
    <r>
      <rPr>
        <b/>
        <sz val="11"/>
        <rFont val="Times New Roman"/>
        <family val="1"/>
      </rPr>
      <t xml:space="preserve"> ($ per bin)</t>
    </r>
  </si>
  <si>
    <r>
      <t>Break-even Return</t>
    </r>
    <r>
      <rPr>
        <b/>
        <vertAlign val="superscript"/>
        <sz val="11"/>
        <rFont val="Times New Roman"/>
        <family val="1"/>
      </rPr>
      <t>A</t>
    </r>
    <r>
      <rPr>
        <b/>
        <sz val="11"/>
        <rFont val="Times New Roman"/>
        <family val="1"/>
      </rPr>
      <t xml:space="preserve"> ($ per 40-lb box)</t>
    </r>
  </si>
  <si>
    <r>
      <t xml:space="preserve">A. Break-even return is calculated as </t>
    </r>
    <r>
      <rPr>
        <b/>
        <sz val="10"/>
        <color rgb="FF000000"/>
        <rFont val="Times New Roman"/>
        <family val="1"/>
      </rPr>
      <t>cost divided by net yield</t>
    </r>
    <r>
      <rPr>
        <sz val="10"/>
        <color indexed="8"/>
        <rFont val="Times New Roman"/>
        <family val="1"/>
      </rPr>
      <t xml:space="preserve"> during full production. The break-even return per 40-lb box is calculated as the per bin value divided by 15. All variables in this equation are held constant, except for the “Cost,” which takes the Total Variable Costs, Total Cash Costs, Total Cash Costs + Depreciation Costs, or Total Costs, depending on the level of enterprise cost that the break-even return is being calculated.</t>
    </r>
  </si>
  <si>
    <t>C. Total Cash Costs are the sum of Total Variable Costs + Land &amp; Property Taxes + Insurance Cost + Miscellaneous Supplies. If there are other cash costs on an individual's orchard, these costs must be identified and included in the cash cost break-even return calculation.</t>
  </si>
  <si>
    <t>F. Total Cost is the sum of total cash costs, depreciation costs, interest costs and management cost. Interest costs include some actual cash interest payments.</t>
  </si>
  <si>
    <t>Table 4.2. Break-even return for different levels of enterprise costs during full production of Honeycrisp apples on vertical spindle trellis system.</t>
  </si>
  <si>
    <t>Appendix Table 1. Summary of annual capital requirements for a 26-acre Honeycrisp block on vertical spindle trellis system.</t>
  </si>
  <si>
    <t>Requirements and Receipts</t>
  </si>
  <si>
    <t>Appendix Table 2. Machinery, equipment, and building requirements for a 300-acre diverse cultivar orchard.</t>
  </si>
  <si>
    <t>Requirements</t>
  </si>
  <si>
    <t>Appendix Table 3. Annual interest costs per acre for a 26-acre Honeycrisp block on vertical spindle trellis system.</t>
  </si>
  <si>
    <t xml:space="preserve">Capital Requirements </t>
  </si>
  <si>
    <t>Intest Rate</t>
  </si>
  <si>
    <t>Appendix Table 4. Annual depreciation costs per acre for a 26-acre Honeycrisp block on vertical spindle trellis system.</t>
  </si>
  <si>
    <t>E. See Appendix Table 7 for a detailed calculation of the salvage value of the machinery, equipment and building.</t>
  </si>
  <si>
    <t xml:space="preserve">B. See Appendix Table 7 for calculation of the depreciation cost of the machinery, equipment and building. </t>
  </si>
  <si>
    <t>Appendix Table 5. Data on costs during establishment years for a 48-acre Honeycrisp block on vertical spindle trellis system.</t>
  </si>
  <si>
    <r>
      <t>Land includes water rights</t>
    </r>
    <r>
      <rPr>
        <vertAlign val="superscript"/>
        <sz val="11"/>
        <rFont val="Times New Roman"/>
        <family val="1"/>
      </rPr>
      <t>A</t>
    </r>
  </si>
  <si>
    <t>Soil Preparation: soil sample (custom)</t>
  </si>
  <si>
    <t>Soil Preparation: fumigation (custom)</t>
  </si>
  <si>
    <t>Soil Preparation: rip and disk ground (custom)</t>
  </si>
  <si>
    <t>Soil Preparation: fertilizer (materials, tractor and labor)</t>
  </si>
  <si>
    <t>Trees: full sized trees (5/8" or better)</t>
  </si>
  <si>
    <t>Trees: planting per tree (labor and tractor)</t>
  </si>
  <si>
    <t>Irrigation: laterals, sprinklers, sub-lines</t>
  </si>
  <si>
    <t>Irrigation: installation labor</t>
  </si>
  <si>
    <r>
      <t>Fertilizer</t>
    </r>
    <r>
      <rPr>
        <vertAlign val="superscript"/>
        <sz val="11"/>
        <rFont val="Times New Roman"/>
        <family val="1"/>
      </rPr>
      <t>F</t>
    </r>
    <r>
      <rPr>
        <sz val="11"/>
        <rFont val="Times New Roman"/>
        <family val="1"/>
      </rPr>
      <t>, materials</t>
    </r>
  </si>
  <si>
    <r>
      <t>Fertilizer, labor</t>
    </r>
    <r>
      <rPr>
        <vertAlign val="superscript"/>
        <sz val="11"/>
        <rFont val="Times New Roman"/>
        <family val="1"/>
      </rPr>
      <t>G,H</t>
    </r>
  </si>
  <si>
    <t>Sunburn Protection—Netting, materials</t>
  </si>
  <si>
    <t>Sunburn Protection—Netting (deploy and pull back), labor</t>
  </si>
  <si>
    <t>Harvest Costs (per bin): picking (multiple picks)</t>
  </si>
  <si>
    <t>Harvest Costs (per bin): checkers, tractor drivers and supervisors</t>
  </si>
  <si>
    <t>Harvest Costs (per bin): hauling</t>
  </si>
  <si>
    <t xml:space="preserve">Year  </t>
  </si>
  <si>
    <t>Appendix Table 6. Data on costs during a full production year for a 48-acre Honeycrisp block on vertical spindle trellis system.</t>
  </si>
  <si>
    <r>
      <t>Fertilizer</t>
    </r>
    <r>
      <rPr>
        <vertAlign val="superscript"/>
        <sz val="11"/>
        <rFont val="Times New Roman"/>
        <family val="1"/>
      </rPr>
      <t>D</t>
    </r>
    <r>
      <rPr>
        <sz val="11"/>
        <rFont val="Times New Roman"/>
        <family val="1"/>
      </rPr>
      <t>, materials</t>
    </r>
  </si>
  <si>
    <r>
      <t>Fertilizer, labor</t>
    </r>
    <r>
      <rPr>
        <vertAlign val="superscript"/>
        <sz val="11"/>
        <rFont val="Times New Roman"/>
        <family val="1"/>
      </rPr>
      <t>E</t>
    </r>
  </si>
  <si>
    <t>Appendix Table 7. Estimation of salvage value and annual depreciation cost of fixed capital.</t>
  </si>
  <si>
    <t>Machine/Equipment/Building (from Appendix Table 2)</t>
  </si>
  <si>
    <r>
      <t>Purchase Price (from Appendix Table 2)</t>
    </r>
    <r>
      <rPr>
        <b/>
        <vertAlign val="superscript"/>
        <sz val="11"/>
        <color indexed="8"/>
        <rFont val="Times New Roman"/>
        <family val="1"/>
      </rPr>
      <t>D</t>
    </r>
  </si>
  <si>
    <r>
      <t>Salvage Value As % of Current Mkt Value</t>
    </r>
    <r>
      <rPr>
        <b/>
        <vertAlign val="superscript"/>
        <sz val="11"/>
        <rFont val="Times New Roman"/>
        <family val="1"/>
      </rPr>
      <t>E</t>
    </r>
  </si>
  <si>
    <t>-</t>
  </si>
  <si>
    <t>Appendix Table 8. Amortization calculator.</t>
  </si>
  <si>
    <t>Variable</t>
  </si>
  <si>
    <t>Value</t>
  </si>
  <si>
    <t>Appendix Table 9. Assumptions for establishing, producing, and packing Honeycrisp apples on vertical spindle trellis system (per acre basis).</t>
  </si>
  <si>
    <t>Variables</t>
  </si>
  <si>
    <t>Table 1.2. Honeycrisp block specifications.</t>
  </si>
  <si>
    <r>
      <t>Table 3.2. Estimated net returns</t>
    </r>
    <r>
      <rPr>
        <b/>
        <vertAlign val="superscript"/>
        <sz val="14"/>
        <rFont val="Times New Roman"/>
        <family val="1"/>
      </rPr>
      <t>A</t>
    </r>
    <r>
      <rPr>
        <b/>
        <sz val="14"/>
        <rFont val="Times New Roman"/>
        <family val="1"/>
      </rPr>
      <t xml:space="preserve"> per acre at various prices and yields of Honeycrisp during full production on vertical spindle trellis system.</t>
    </r>
  </si>
  <si>
    <t>Table 2.2. Cost and returns per acre of establishing, producing and packing Honeycrisp on vertical spindle trellis system in a 26-acre orchard block.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</si>
</sst>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0.0%"/>
    <numFmt numFmtId="166" formatCode="#,##0.000"/>
    <numFmt numFmtId="167" formatCode="&quot;$&quot;#,##0.00"/>
    <numFmt numFmtId="168" formatCode="&quot;$&quot;#,##0"/>
    <numFmt numFmtId="169" formatCode="#,##0;[Red]\ \ \-\ #,##0\ ;&quot;-&quot;"/>
    <numFmt numFmtId="170" formatCode="#,##0.00;[Red]\ \ \-\ #,##0.00\ ;&quot;-&quot;"/>
  </numFmts>
  <fonts count="48" x14ac:knownFonts="1">
    <font>
      <sz val="11"/>
      <color theme="1"/>
      <name val="Calibri"/>
      <family val="2"/>
      <scheme val="minor"/>
    </font>
    <font>
      <sz val="11"/>
      <color indexed="8"/>
      <name val="Calibri"/>
      <family val="2"/>
    </font>
    <font>
      <b/>
      <sz val="14"/>
      <color indexed="8"/>
      <name val="Times New Roman"/>
      <family val="1"/>
    </font>
    <font>
      <vertAlign val="superscript"/>
      <sz val="11"/>
      <color indexed="8"/>
      <name val="Times New Roman"/>
      <family val="1"/>
    </font>
    <font>
      <sz val="10"/>
      <color indexed="8"/>
      <name val="Times New Roman"/>
      <family val="1"/>
    </font>
    <font>
      <b/>
      <sz val="11"/>
      <color indexed="8"/>
      <name val="Times New Roman"/>
      <family val="1"/>
    </font>
    <font>
      <sz val="11"/>
      <color indexed="8"/>
      <name val="Times New Roman"/>
      <family val="1"/>
    </font>
    <font>
      <sz val="11"/>
      <name val="Times New Roman"/>
      <family val="1"/>
    </font>
    <font>
      <b/>
      <sz val="14"/>
      <name val="Times New Roman"/>
      <family val="1"/>
    </font>
    <font>
      <b/>
      <sz val="11"/>
      <name val="Times New Roman"/>
      <family val="1"/>
    </font>
    <font>
      <vertAlign val="superscript"/>
      <sz val="11"/>
      <name val="Times New Roman"/>
      <family val="1"/>
    </font>
    <font>
      <sz val="10"/>
      <name val="Times New Roman"/>
      <family val="1"/>
    </font>
    <font>
      <sz val="11"/>
      <color indexed="53"/>
      <name val="Times New Roman"/>
      <family val="1"/>
    </font>
    <font>
      <sz val="12"/>
      <color indexed="8"/>
      <name val="Times New Roman"/>
      <family val="1"/>
    </font>
    <font>
      <sz val="11"/>
      <color indexed="8"/>
      <name val="Times New Roman"/>
      <family val="1"/>
    </font>
    <font>
      <sz val="11"/>
      <color indexed="53"/>
      <name val="Times New Roman"/>
      <family val="1"/>
    </font>
    <font>
      <sz val="11"/>
      <color indexed="10"/>
      <name val="Times New Roman"/>
      <family val="1"/>
    </font>
    <font>
      <sz val="11"/>
      <color indexed="49"/>
      <name val="Times New Roman"/>
      <family val="1"/>
    </font>
    <font>
      <sz val="8"/>
      <name val="Calibri"/>
      <family val="2"/>
    </font>
    <font>
      <sz val="11"/>
      <name val="Calibri"/>
      <family val="2"/>
    </font>
    <font>
      <b/>
      <vertAlign val="superscript"/>
      <sz val="11"/>
      <name val="Times New Roman"/>
      <family val="1"/>
    </font>
    <font>
      <i/>
      <sz val="10"/>
      <name val="Times New Roman"/>
      <family val="1"/>
    </font>
    <font>
      <sz val="11"/>
      <color theme="1"/>
      <name val="Calibri"/>
      <family val="2"/>
      <scheme val="minor"/>
    </font>
    <font>
      <sz val="11"/>
      <color theme="1"/>
      <name val="Times New Roman"/>
      <family val="1"/>
    </font>
    <font>
      <sz val="11"/>
      <color rgb="FFFF0000"/>
      <name val="Times New Roman"/>
      <family val="1"/>
    </font>
    <font>
      <sz val="11"/>
      <color theme="9" tint="-0.249977111117893"/>
      <name val="Times New Roman"/>
      <family val="1"/>
    </font>
    <font>
      <sz val="11"/>
      <color theme="5"/>
      <name val="Times New Roman"/>
      <family val="1"/>
    </font>
    <font>
      <sz val="10"/>
      <color theme="1"/>
      <name val="Times New Roman"/>
      <family val="1"/>
    </font>
    <font>
      <i/>
      <sz val="10"/>
      <color theme="9" tint="-0.249977111117893"/>
      <name val="Times New Roman"/>
      <family val="1"/>
    </font>
    <font>
      <b/>
      <sz val="14"/>
      <color theme="1"/>
      <name val="Times New Roman"/>
      <family val="1"/>
    </font>
    <font>
      <b/>
      <sz val="11"/>
      <color theme="9" tint="-0.249977111117893"/>
      <name val="Times New Roman"/>
      <family val="1"/>
    </font>
    <font>
      <sz val="10"/>
      <color theme="9" tint="-0.249977111117893"/>
      <name val="Times New Roman"/>
      <family val="1"/>
    </font>
    <font>
      <sz val="8"/>
      <name val="Calibri"/>
      <family val="2"/>
      <scheme val="minor"/>
    </font>
    <font>
      <u/>
      <sz val="11"/>
      <color theme="10"/>
      <name val="Calibri"/>
      <family val="2"/>
      <scheme val="minor"/>
    </font>
    <font>
      <u/>
      <sz val="11"/>
      <color theme="11"/>
      <name val="Calibri"/>
      <family val="2"/>
      <scheme val="minor"/>
    </font>
    <font>
      <sz val="12"/>
      <color theme="1"/>
      <name val="Times New Roman"/>
      <family val="1"/>
    </font>
    <font>
      <vertAlign val="superscript"/>
      <sz val="10"/>
      <name val="Times New Roman"/>
      <family val="1"/>
    </font>
    <font>
      <sz val="11"/>
      <color rgb="FFC00000"/>
      <name val="Times New Roman"/>
      <family val="1"/>
    </font>
    <font>
      <sz val="10"/>
      <color indexed="53"/>
      <name val="Times New Roman"/>
      <family val="1"/>
    </font>
    <font>
      <vertAlign val="superscript"/>
      <sz val="11"/>
      <color theme="9" tint="-0.249977111117893"/>
      <name val="Times New Roman"/>
      <family val="1"/>
    </font>
    <font>
      <b/>
      <vertAlign val="superscript"/>
      <sz val="11"/>
      <color indexed="8"/>
      <name val="Times New Roman"/>
      <family val="1"/>
    </font>
    <font>
      <b/>
      <sz val="11"/>
      <color theme="1"/>
      <name val="Times New Roman"/>
      <family val="1"/>
    </font>
    <font>
      <b/>
      <vertAlign val="superscript"/>
      <sz val="14"/>
      <name val="Times New Roman"/>
      <family val="1"/>
    </font>
    <font>
      <b/>
      <vertAlign val="superscript"/>
      <sz val="11"/>
      <color theme="1"/>
      <name val="Times New Roman"/>
      <family val="1"/>
    </font>
    <font>
      <i/>
      <sz val="11"/>
      <name val="Times New Roman"/>
      <family val="1"/>
    </font>
    <font>
      <b/>
      <sz val="10"/>
      <color rgb="FF000000"/>
      <name val="Times New Roman"/>
      <family val="1"/>
    </font>
    <font>
      <u/>
      <sz val="10"/>
      <color indexed="8"/>
      <name val="Times New Roman"/>
      <family val="1"/>
    </font>
    <font>
      <b/>
      <sz val="11"/>
      <color rgb="FFC00000"/>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9">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double">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diagonal/>
    </border>
    <border>
      <left/>
      <right/>
      <top/>
      <bottom style="thin">
        <color auto="1"/>
      </bottom>
      <diagonal/>
    </border>
    <border>
      <left/>
      <right/>
      <top/>
      <bottom style="thin">
        <color auto="1"/>
      </bottom>
      <diagonal/>
    </border>
    <border>
      <left/>
      <right/>
      <top style="thin">
        <color indexed="64"/>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right style="thin">
        <color indexed="64"/>
      </right>
      <top style="thin">
        <color indexed="64"/>
      </top>
      <bottom/>
      <diagonal/>
    </border>
    <border>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top/>
      <bottom/>
      <diagonal/>
    </border>
    <border>
      <left/>
      <right/>
      <top style="thin">
        <color indexed="64"/>
      </top>
      <bottom style="thin">
        <color indexed="64"/>
      </bottom>
      <diagonal/>
    </border>
    <border>
      <left/>
      <right/>
      <top style="thin">
        <color auto="1"/>
      </top>
      <bottom style="thin">
        <color indexed="64"/>
      </bottom>
      <diagonal/>
    </border>
    <border>
      <left/>
      <right style="thin">
        <color auto="1"/>
      </right>
      <top/>
      <bottom/>
      <diagonal/>
    </border>
  </borders>
  <cellStyleXfs count="16">
    <xf numFmtId="0" fontId="0" fillId="0" borderId="0"/>
    <xf numFmtId="44"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cellStyleXfs>
  <cellXfs count="339">
    <xf numFmtId="0" fontId="0" fillId="0" borderId="0" xfId="0"/>
    <xf numFmtId="0" fontId="7" fillId="2" borderId="0" xfId="0" applyFont="1" applyFill="1"/>
    <xf numFmtId="0" fontId="14" fillId="2" borderId="0" xfId="0" applyFont="1" applyFill="1"/>
    <xf numFmtId="0" fontId="8" fillId="2" borderId="0" xfId="0" applyFont="1" applyFill="1" applyAlignment="1">
      <alignment wrapText="1"/>
    </xf>
    <xf numFmtId="0" fontId="0" fillId="2" borderId="0" xfId="0" applyFill="1"/>
    <xf numFmtId="3" fontId="7" fillId="2" borderId="0" xfId="0" applyNumberFormat="1" applyFont="1" applyFill="1" applyAlignment="1">
      <alignment horizontal="right" vertical="center" indent="3"/>
    </xf>
    <xf numFmtId="0" fontId="14" fillId="2" borderId="1" xfId="0" applyFont="1" applyFill="1" applyBorder="1"/>
    <xf numFmtId="0" fontId="6" fillId="2" borderId="0" xfId="0" applyFont="1" applyFill="1"/>
    <xf numFmtId="0" fontId="4" fillId="2" borderId="0" xfId="0" applyFont="1" applyFill="1"/>
    <xf numFmtId="0" fontId="14" fillId="2" borderId="0" xfId="0" quotePrefix="1" applyFont="1" applyFill="1"/>
    <xf numFmtId="4" fontId="14" fillId="2" borderId="0" xfId="0" applyNumberFormat="1" applyFont="1" applyFill="1" applyAlignment="1">
      <alignment horizontal="right" indent="1"/>
    </xf>
    <xf numFmtId="0" fontId="13" fillId="3" borderId="0" xfId="0" applyFont="1" applyFill="1"/>
    <xf numFmtId="0" fontId="7" fillId="3" borderId="0" xfId="0" applyFont="1" applyFill="1"/>
    <xf numFmtId="0" fontId="11" fillId="3" borderId="0" xfId="0" applyFont="1" applyFill="1"/>
    <xf numFmtId="0" fontId="6" fillId="3" borderId="0" xfId="0" applyFont="1" applyFill="1"/>
    <xf numFmtId="0" fontId="7" fillId="3" borderId="0" xfId="0" applyFont="1" applyFill="1" applyAlignment="1">
      <alignment horizontal="left"/>
    </xf>
    <xf numFmtId="0" fontId="7" fillId="2" borderId="0" xfId="0" applyFont="1" applyFill="1" applyAlignment="1">
      <alignment vertical="top" wrapText="1"/>
    </xf>
    <xf numFmtId="0" fontId="27" fillId="3" borderId="0" xfId="0" applyFont="1" applyFill="1"/>
    <xf numFmtId="167" fontId="7" fillId="2" borderId="0" xfId="0" applyNumberFormat="1" applyFont="1" applyFill="1" applyAlignment="1">
      <alignment horizontal="right" indent="1"/>
    </xf>
    <xf numFmtId="167" fontId="14" fillId="2" borderId="1" xfId="0" applyNumberFormat="1" applyFont="1" applyFill="1" applyBorder="1" applyAlignment="1">
      <alignment horizontal="right" indent="1"/>
    </xf>
    <xf numFmtId="0" fontId="7" fillId="2" borderId="0" xfId="0" applyFont="1" applyFill="1" applyAlignment="1">
      <alignment horizontal="left"/>
    </xf>
    <xf numFmtId="3" fontId="7" fillId="2" borderId="4" xfId="0" applyNumberFormat="1" applyFont="1" applyFill="1" applyBorder="1" applyAlignment="1">
      <alignment horizontal="right" vertical="center" indent="3"/>
    </xf>
    <xf numFmtId="3" fontId="25" fillId="2" borderId="0" xfId="0" applyNumberFormat="1" applyFont="1" applyFill="1" applyAlignment="1" applyProtection="1">
      <alignment horizontal="right" vertical="center" indent="3"/>
      <protection locked="0"/>
    </xf>
    <xf numFmtId="3" fontId="25" fillId="2" borderId="0" xfId="0" applyNumberFormat="1" applyFont="1" applyFill="1" applyAlignment="1" applyProtection="1">
      <alignment horizontal="center" vertical="center"/>
      <protection locked="0"/>
    </xf>
    <xf numFmtId="4" fontId="25" fillId="2" borderId="0" xfId="0" applyNumberFormat="1" applyFont="1" applyFill="1" applyAlignment="1" applyProtection="1">
      <alignment horizontal="right" indent="1"/>
      <protection locked="0"/>
    </xf>
    <xf numFmtId="0" fontId="35" fillId="3" borderId="0" xfId="0" applyFont="1" applyFill="1"/>
    <xf numFmtId="0" fontId="8" fillId="3" borderId="0" xfId="0" applyFont="1" applyFill="1"/>
    <xf numFmtId="0" fontId="8" fillId="3" borderId="0" xfId="0" applyFont="1" applyFill="1" applyAlignment="1">
      <alignment wrapText="1"/>
    </xf>
    <xf numFmtId="0" fontId="7" fillId="3" borderId="0" xfId="0" applyFont="1" applyFill="1" applyAlignment="1">
      <alignment horizontal="center"/>
    </xf>
    <xf numFmtId="4" fontId="7" fillId="3" borderId="0" xfId="0" applyNumberFormat="1" applyFont="1" applyFill="1"/>
    <xf numFmtId="0" fontId="23" fillId="3" borderId="2" xfId="0" applyFont="1" applyFill="1" applyBorder="1" applyAlignment="1">
      <alignment vertical="top"/>
    </xf>
    <xf numFmtId="0" fontId="23" fillId="3" borderId="11" xfId="0" applyFont="1" applyFill="1" applyBorder="1" applyAlignment="1">
      <alignment horizontal="left" vertical="top"/>
    </xf>
    <xf numFmtId="3" fontId="11" fillId="3" borderId="0" xfId="0" applyNumberFormat="1" applyFont="1" applyFill="1" applyAlignment="1" applyProtection="1">
      <alignment horizontal="right" vertical="center" indent="3"/>
      <protection locked="0"/>
    </xf>
    <xf numFmtId="3" fontId="38" fillId="3" borderId="0" xfId="0" applyNumberFormat="1" applyFont="1" applyFill="1" applyAlignment="1" applyProtection="1">
      <alignment horizontal="right" vertical="center" indent="3"/>
      <protection locked="0"/>
    </xf>
    <xf numFmtId="0" fontId="9" fillId="2" borderId="14" xfId="0" applyFont="1" applyFill="1" applyBorder="1" applyAlignment="1">
      <alignment horizontal="left"/>
    </xf>
    <xf numFmtId="3" fontId="9" fillId="2" borderId="14" xfId="0" applyNumberFormat="1" applyFont="1" applyFill="1" applyBorder="1" applyAlignment="1">
      <alignment horizontal="right" vertical="center" indent="3"/>
    </xf>
    <xf numFmtId="0" fontId="25" fillId="3" borderId="0" xfId="0" applyFont="1" applyFill="1" applyAlignment="1">
      <alignment horizontal="left"/>
    </xf>
    <xf numFmtId="0" fontId="25" fillId="2" borderId="0" xfId="0" applyFont="1" applyFill="1" applyAlignment="1">
      <alignment horizontal="left"/>
    </xf>
    <xf numFmtId="3" fontId="30" fillId="2" borderId="14" xfId="0" applyNumberFormat="1" applyFont="1" applyFill="1" applyBorder="1" applyAlignment="1">
      <alignment horizontal="right" vertical="center" indent="3"/>
    </xf>
    <xf numFmtId="3" fontId="30" fillId="2" borderId="14" xfId="0" applyNumberFormat="1" applyFont="1" applyFill="1" applyBorder="1" applyAlignment="1">
      <alignment horizontal="right" vertical="center" indent="5"/>
    </xf>
    <xf numFmtId="0" fontId="25" fillId="3" borderId="2" xfId="0" applyFont="1" applyFill="1" applyBorder="1" applyAlignment="1">
      <alignment vertical="top"/>
    </xf>
    <xf numFmtId="0" fontId="9" fillId="3" borderId="12" xfId="0" applyFont="1" applyFill="1" applyBorder="1" applyAlignment="1">
      <alignment horizontal="left"/>
    </xf>
    <xf numFmtId="43" fontId="37" fillId="2" borderId="0" xfId="0" applyNumberFormat="1" applyFont="1" applyFill="1" applyAlignment="1">
      <alignment vertical="top"/>
    </xf>
    <xf numFmtId="0" fontId="11" fillId="3" borderId="0" xfId="0" applyFont="1" applyFill="1" applyAlignment="1">
      <alignment vertical="top"/>
    </xf>
    <xf numFmtId="0" fontId="11" fillId="3" borderId="0" xfId="0" applyFont="1" applyFill="1" applyAlignment="1" applyProtection="1">
      <alignment horizontal="left" vertical="top"/>
      <protection locked="0"/>
    </xf>
    <xf numFmtId="9" fontId="28" fillId="3" borderId="0" xfId="0" applyNumberFormat="1" applyFont="1" applyFill="1" applyAlignment="1">
      <alignment horizontal="left" vertical="top"/>
    </xf>
    <xf numFmtId="9" fontId="31" fillId="3" borderId="0" xfId="0" applyNumberFormat="1" applyFont="1" applyFill="1" applyAlignment="1">
      <alignment horizontal="left" vertical="top"/>
    </xf>
    <xf numFmtId="0" fontId="7" fillId="3" borderId="0" xfId="0" applyFont="1" applyFill="1" applyAlignment="1">
      <alignment horizontal="left" vertical="top"/>
    </xf>
    <xf numFmtId="4" fontId="11" fillId="3" borderId="0" xfId="0" applyNumberFormat="1" applyFont="1" applyFill="1" applyAlignment="1">
      <alignment horizontal="left" vertical="top"/>
    </xf>
    <xf numFmtId="0" fontId="11" fillId="3" borderId="0" xfId="0" applyFont="1" applyFill="1" applyAlignment="1">
      <alignment horizontal="left" vertical="top"/>
    </xf>
    <xf numFmtId="0" fontId="7" fillId="2" borderId="0" xfId="0" applyFont="1" applyFill="1" applyAlignment="1">
      <alignment vertical="top"/>
    </xf>
    <xf numFmtId="0" fontId="0" fillId="2" borderId="0" xfId="0" applyFill="1" applyAlignment="1">
      <alignment vertical="top"/>
    </xf>
    <xf numFmtId="0" fontId="14" fillId="2" borderId="0" xfId="0" applyFont="1" applyFill="1" applyAlignment="1">
      <alignment vertical="top"/>
    </xf>
    <xf numFmtId="0" fontId="7" fillId="2" borderId="21" xfId="0" applyFont="1" applyFill="1" applyBorder="1" applyAlignment="1">
      <alignment vertical="top"/>
    </xf>
    <xf numFmtId="4" fontId="7" fillId="2" borderId="0" xfId="0" applyNumberFormat="1" applyFont="1" applyFill="1" applyAlignment="1" applyProtection="1">
      <alignment horizontal="right" indent="1"/>
      <protection locked="0"/>
    </xf>
    <xf numFmtId="0" fontId="6" fillId="2" borderId="0" xfId="0" applyFont="1" applyFill="1" applyAlignment="1">
      <alignment vertical="top" wrapText="1" shrinkToFit="1"/>
    </xf>
    <xf numFmtId="0" fontId="6" fillId="2" borderId="0" xfId="0" applyFont="1" applyFill="1" applyAlignment="1">
      <alignment vertical="top"/>
    </xf>
    <xf numFmtId="167" fontId="7" fillId="3" borderId="0" xfId="0" applyNumberFormat="1" applyFont="1" applyFill="1"/>
    <xf numFmtId="4" fontId="7" fillId="3" borderId="0" xfId="0" applyNumberFormat="1" applyFont="1" applyFill="1" applyAlignment="1">
      <alignment horizontal="right" vertical="top"/>
    </xf>
    <xf numFmtId="0" fontId="7" fillId="3" borderId="0" xfId="0" applyFont="1" applyFill="1" applyAlignment="1">
      <alignment vertical="top"/>
    </xf>
    <xf numFmtId="39" fontId="7" fillId="3" borderId="0" xfId="0" applyNumberFormat="1" applyFont="1" applyFill="1" applyAlignment="1">
      <alignment horizontal="right" vertical="top"/>
    </xf>
    <xf numFmtId="0" fontId="14" fillId="3" borderId="0" xfId="0" applyFont="1" applyFill="1" applyAlignment="1">
      <alignment vertical="top"/>
    </xf>
    <xf numFmtId="0" fontId="6" fillId="3" borderId="0" xfId="0" applyFont="1" applyFill="1" applyAlignment="1">
      <alignment vertical="top"/>
    </xf>
    <xf numFmtId="0" fontId="0" fillId="3" borderId="0" xfId="0" applyFill="1"/>
    <xf numFmtId="0" fontId="7" fillId="2" borderId="0" xfId="0" applyFont="1" applyFill="1" applyAlignment="1">
      <alignment horizontal="left" vertical="top" wrapText="1"/>
    </xf>
    <xf numFmtId="3" fontId="11" fillId="3" borderId="0" xfId="0" applyNumberFormat="1" applyFont="1" applyFill="1" applyAlignment="1" applyProtection="1">
      <alignment horizontal="right" vertical="top"/>
      <protection locked="0"/>
    </xf>
    <xf numFmtId="3" fontId="38" fillId="3" borderId="0" xfId="0" applyNumberFormat="1" applyFont="1" applyFill="1" applyAlignment="1" applyProtection="1">
      <alignment horizontal="right" vertical="top"/>
      <protection locked="0"/>
    </xf>
    <xf numFmtId="0" fontId="27" fillId="3" borderId="0" xfId="0" applyFont="1" applyFill="1" applyAlignment="1">
      <alignment vertical="top"/>
    </xf>
    <xf numFmtId="0" fontId="35" fillId="3" borderId="0" xfId="0" applyFont="1" applyFill="1" applyAlignment="1">
      <alignment vertical="top"/>
    </xf>
    <xf numFmtId="0" fontId="13" fillId="3" borderId="0" xfId="0" applyFont="1" applyFill="1" applyAlignment="1">
      <alignment vertical="top"/>
    </xf>
    <xf numFmtId="0" fontId="26" fillId="3" borderId="0" xfId="0" applyFont="1" applyFill="1" applyAlignment="1">
      <alignment vertical="top"/>
    </xf>
    <xf numFmtId="0" fontId="13" fillId="3" borderId="0" xfId="0" applyFont="1" applyFill="1" applyAlignment="1">
      <alignment horizontal="center" vertical="top"/>
    </xf>
    <xf numFmtId="0" fontId="23" fillId="3" borderId="0" xfId="0" applyFont="1" applyFill="1" applyAlignment="1">
      <alignment vertical="top"/>
    </xf>
    <xf numFmtId="0" fontId="14" fillId="3" borderId="0" xfId="0" applyFont="1" applyFill="1" applyAlignment="1">
      <alignment horizontal="center" vertical="top"/>
    </xf>
    <xf numFmtId="0" fontId="23" fillId="3" borderId="0" xfId="0" applyFont="1" applyFill="1" applyAlignment="1">
      <alignment horizontal="left" vertical="top"/>
    </xf>
    <xf numFmtId="0" fontId="7" fillId="3" borderId="1" xfId="0" applyFont="1" applyFill="1" applyBorder="1" applyAlignment="1">
      <alignment vertical="top"/>
    </xf>
    <xf numFmtId="0" fontId="9" fillId="3" borderId="0" xfId="0" applyFont="1" applyFill="1" applyAlignment="1">
      <alignment vertical="top"/>
    </xf>
    <xf numFmtId="4" fontId="7" fillId="2" borderId="0" xfId="0" applyNumberFormat="1" applyFont="1" applyFill="1" applyAlignment="1">
      <alignment vertical="top"/>
    </xf>
    <xf numFmtId="4" fontId="7" fillId="2" borderId="0" xfId="0" applyNumberFormat="1" applyFont="1" applyFill="1" applyAlignment="1">
      <alignment vertical="top" wrapText="1"/>
    </xf>
    <xf numFmtId="0" fontId="4" fillId="2" borderId="0" xfId="0" applyFont="1" applyFill="1" applyAlignment="1">
      <alignment vertical="top"/>
    </xf>
    <xf numFmtId="4" fontId="11" fillId="2" borderId="0" xfId="0" applyNumberFormat="1" applyFont="1" applyFill="1" applyAlignment="1">
      <alignment horizontal="left" vertical="top"/>
    </xf>
    <xf numFmtId="0" fontId="4" fillId="2" borderId="0" xfId="0" applyFont="1" applyFill="1" applyAlignment="1">
      <alignment horizontal="left" vertical="top"/>
    </xf>
    <xf numFmtId="0" fontId="2" fillId="2" borderId="0" xfId="0" applyFont="1" applyFill="1" applyAlignment="1">
      <alignment vertical="top" wrapText="1"/>
    </xf>
    <xf numFmtId="4" fontId="14" fillId="2" borderId="0" xfId="0" applyNumberFormat="1" applyFont="1" applyFill="1" applyAlignment="1">
      <alignment vertical="top"/>
    </xf>
    <xf numFmtId="0" fontId="7" fillId="2" borderId="21" xfId="0" applyFont="1" applyFill="1" applyBorder="1" applyAlignment="1">
      <alignment horizontal="left" vertical="top"/>
    </xf>
    <xf numFmtId="0" fontId="7" fillId="2" borderId="0" xfId="0" applyFont="1" applyFill="1" applyAlignment="1">
      <alignment horizontal="left" vertical="top"/>
    </xf>
    <xf numFmtId="0" fontId="19" fillId="2" borderId="0" xfId="0" applyFont="1" applyFill="1" applyAlignment="1">
      <alignment vertical="top"/>
    </xf>
    <xf numFmtId="0" fontId="7" fillId="2" borderId="0" xfId="0" applyFont="1" applyFill="1" applyAlignment="1">
      <alignment horizontal="center" vertical="top"/>
    </xf>
    <xf numFmtId="0" fontId="19" fillId="2" borderId="0" xfId="0" quotePrefix="1" applyFont="1" applyFill="1" applyAlignment="1">
      <alignment vertical="top"/>
    </xf>
    <xf numFmtId="0" fontId="9" fillId="2" borderId="0" xfId="0" applyFont="1" applyFill="1" applyAlignment="1">
      <alignment horizontal="left" vertical="top"/>
    </xf>
    <xf numFmtId="0" fontId="11" fillId="2" borderId="0" xfId="0" applyFont="1" applyFill="1" applyAlignment="1">
      <alignment vertical="top"/>
    </xf>
    <xf numFmtId="4" fontId="7" fillId="2" borderId="0" xfId="0" applyNumberFormat="1" applyFont="1" applyFill="1" applyAlignment="1">
      <alignment horizontal="right" vertical="top"/>
    </xf>
    <xf numFmtId="3" fontId="7" fillId="2" borderId="0" xfId="0" applyNumberFormat="1" applyFont="1" applyFill="1" applyAlignment="1">
      <alignment horizontal="right"/>
    </xf>
    <xf numFmtId="3" fontId="14" fillId="2" borderId="0" xfId="0" applyNumberFormat="1" applyFont="1" applyFill="1" applyAlignment="1">
      <alignment horizontal="right"/>
    </xf>
    <xf numFmtId="0" fontId="14" fillId="2" borderId="0" xfId="0" applyFont="1" applyFill="1" applyAlignment="1">
      <alignment horizontal="right"/>
    </xf>
    <xf numFmtId="3" fontId="7" fillId="2" borderId="10" xfId="0" applyNumberFormat="1" applyFont="1" applyFill="1" applyBorder="1" applyAlignment="1">
      <alignment horizontal="right"/>
    </xf>
    <xf numFmtId="3" fontId="14" fillId="2" borderId="10" xfId="0" applyNumberFormat="1" applyFont="1" applyFill="1" applyBorder="1" applyAlignment="1">
      <alignment horizontal="right"/>
    </xf>
    <xf numFmtId="3" fontId="25" fillId="2" borderId="0" xfId="0" applyNumberFormat="1" applyFont="1" applyFill="1" applyAlignment="1" applyProtection="1">
      <alignment horizontal="right"/>
      <protection locked="0"/>
    </xf>
    <xf numFmtId="3" fontId="14" fillId="2" borderId="14" xfId="0" applyNumberFormat="1" applyFont="1" applyFill="1" applyBorder="1" applyAlignment="1">
      <alignment horizontal="right"/>
    </xf>
    <xf numFmtId="3" fontId="7" fillId="2" borderId="14" xfId="0" applyNumberFormat="1" applyFont="1" applyFill="1" applyBorder="1" applyAlignment="1">
      <alignment horizontal="right"/>
    </xf>
    <xf numFmtId="4" fontId="14" fillId="2" borderId="14" xfId="0" applyNumberFormat="1" applyFont="1" applyFill="1" applyBorder="1" applyAlignment="1">
      <alignment horizontal="right"/>
    </xf>
    <xf numFmtId="3" fontId="25" fillId="2" borderId="14" xfId="0" applyNumberFormat="1" applyFont="1" applyFill="1" applyBorder="1" applyAlignment="1" applyProtection="1">
      <alignment horizontal="right"/>
      <protection locked="0"/>
    </xf>
    <xf numFmtId="0" fontId="7" fillId="3" borderId="0" xfId="0" quotePrefix="1" applyFont="1" applyFill="1" applyAlignment="1">
      <alignment horizontal="right" vertical="top"/>
    </xf>
    <xf numFmtId="0" fontId="6" fillId="3" borderId="0" xfId="0" quotePrefix="1" applyFont="1" applyFill="1" applyAlignment="1">
      <alignment horizontal="right" vertical="top"/>
    </xf>
    <xf numFmtId="0" fontId="5" fillId="3" borderId="0" xfId="0" applyFont="1" applyFill="1" applyAlignment="1">
      <alignment vertical="top"/>
    </xf>
    <xf numFmtId="0" fontId="7" fillId="3" borderId="0" xfId="0" quotePrefix="1" applyFont="1" applyFill="1" applyAlignment="1">
      <alignment horizontal="right" vertical="top" wrapText="1"/>
    </xf>
    <xf numFmtId="0" fontId="7" fillId="3" borderId="0" xfId="0" applyFont="1" applyFill="1" applyAlignment="1">
      <alignment vertical="top" wrapText="1"/>
    </xf>
    <xf numFmtId="0" fontId="8" fillId="3" borderId="0" xfId="0" applyFont="1" applyFill="1" applyAlignment="1">
      <alignment vertical="top"/>
    </xf>
    <xf numFmtId="0" fontId="9" fillId="2" borderId="24" xfId="0" applyFont="1" applyFill="1" applyBorder="1" applyAlignment="1">
      <alignment horizontal="left"/>
    </xf>
    <xf numFmtId="0" fontId="6" fillId="3" borderId="0" xfId="0" applyFont="1" applyFill="1" applyAlignment="1">
      <alignment horizontal="left" vertical="top"/>
    </xf>
    <xf numFmtId="0" fontId="8" fillId="0" borderId="3" xfId="0" applyFont="1" applyBorder="1" applyAlignment="1">
      <alignment horizontal="left" vertical="top"/>
    </xf>
    <xf numFmtId="0" fontId="9" fillId="0" borderId="3" xfId="0" applyFont="1" applyBorder="1" applyAlignment="1">
      <alignment horizontal="left" vertical="top"/>
    </xf>
    <xf numFmtId="0" fontId="9" fillId="0" borderId="24" xfId="0" applyFont="1" applyBorder="1" applyAlignment="1">
      <alignment horizontal="left" vertical="top"/>
    </xf>
    <xf numFmtId="0" fontId="9" fillId="0" borderId="0" xfId="0" applyFont="1" applyAlignment="1">
      <alignment vertical="top"/>
    </xf>
    <xf numFmtId="0" fontId="7" fillId="0" borderId="0" xfId="0" applyFont="1" applyAlignment="1">
      <alignment vertical="top"/>
    </xf>
    <xf numFmtId="0" fontId="7" fillId="0" borderId="0" xfId="0" applyFont="1" applyAlignment="1">
      <alignment horizontal="left" vertical="top"/>
    </xf>
    <xf numFmtId="167" fontId="7" fillId="0" borderId="0" xfId="0" applyNumberFormat="1" applyFont="1" applyAlignment="1">
      <alignment vertical="top"/>
    </xf>
    <xf numFmtId="0" fontId="23" fillId="0" borderId="5" xfId="0" applyFont="1" applyBorder="1" applyAlignment="1">
      <alignment horizontal="left" vertical="top"/>
    </xf>
    <xf numFmtId="0" fontId="23" fillId="0" borderId="0" xfId="0" applyFont="1" applyAlignment="1">
      <alignment horizontal="left" vertical="top"/>
    </xf>
    <xf numFmtId="0" fontId="25" fillId="0" borderId="0" xfId="0" applyFont="1" applyAlignment="1">
      <alignment horizontal="right" vertical="top"/>
    </xf>
    <xf numFmtId="167" fontId="25" fillId="0" borderId="0" xfId="0" applyNumberFormat="1" applyFont="1" applyAlignment="1">
      <alignment horizontal="right" vertical="top"/>
    </xf>
    <xf numFmtId="0" fontId="7" fillId="0" borderId="2" xfId="0" applyFont="1" applyBorder="1" applyAlignment="1">
      <alignment horizontal="left" vertical="top" wrapText="1"/>
    </xf>
    <xf numFmtId="0" fontId="23" fillId="0" borderId="5" xfId="0" applyFont="1" applyBorder="1" applyAlignment="1">
      <alignment horizontal="left" vertical="top" wrapText="1"/>
    </xf>
    <xf numFmtId="167" fontId="7" fillId="0" borderId="0" xfId="0" applyNumberFormat="1" applyFont="1" applyAlignment="1">
      <alignment horizontal="left" vertical="top" wrapText="1"/>
    </xf>
    <xf numFmtId="0" fontId="7" fillId="0" borderId="25" xfId="0" applyFont="1" applyBorder="1" applyAlignment="1">
      <alignment horizontal="left" vertical="top"/>
    </xf>
    <xf numFmtId="3" fontId="25" fillId="0" borderId="0" xfId="0" applyNumberFormat="1" applyFont="1" applyAlignment="1">
      <alignment horizontal="right" vertical="top"/>
    </xf>
    <xf numFmtId="0" fontId="7" fillId="0" borderId="6" xfId="0" applyFont="1" applyBorder="1" applyAlignment="1">
      <alignment horizontal="left" vertical="top"/>
    </xf>
    <xf numFmtId="0" fontId="7" fillId="0" borderId="1" xfId="0" applyFont="1" applyBorder="1" applyAlignment="1">
      <alignment horizontal="left" vertical="top"/>
    </xf>
    <xf numFmtId="0" fontId="25" fillId="0" borderId="1" xfId="0" applyFont="1" applyBorder="1" applyAlignment="1">
      <alignment horizontal="right" vertical="top"/>
    </xf>
    <xf numFmtId="0" fontId="7" fillId="0" borderId="24" xfId="0" applyFont="1" applyBorder="1" applyAlignment="1">
      <alignment horizontal="left" vertical="top" wrapText="1"/>
    </xf>
    <xf numFmtId="0" fontId="7" fillId="0" borderId="16" xfId="0" applyFont="1" applyBorder="1" applyAlignment="1">
      <alignment horizontal="left" vertical="top"/>
    </xf>
    <xf numFmtId="0" fontId="7" fillId="0" borderId="12" xfId="0" applyFont="1" applyBorder="1" applyAlignment="1">
      <alignment horizontal="left" vertical="top"/>
    </xf>
    <xf numFmtId="167" fontId="25" fillId="0" borderId="12" xfId="0" applyNumberFormat="1" applyFont="1" applyBorder="1" applyAlignment="1">
      <alignment horizontal="right" vertical="top"/>
    </xf>
    <xf numFmtId="0" fontId="7" fillId="0" borderId="26" xfId="0" applyFont="1" applyBorder="1" applyAlignment="1">
      <alignment horizontal="left" vertical="top" wrapText="1"/>
    </xf>
    <xf numFmtId="0" fontId="7" fillId="0" borderId="5" xfId="0" applyFont="1" applyBorder="1" applyAlignment="1">
      <alignment horizontal="left" vertical="top"/>
    </xf>
    <xf numFmtId="0" fontId="7" fillId="0" borderId="0" xfId="0" applyFont="1" applyAlignment="1">
      <alignment horizontal="right" vertical="top"/>
    </xf>
    <xf numFmtId="2" fontId="25" fillId="0" borderId="0" xfId="0" applyNumberFormat="1" applyFont="1" applyAlignment="1">
      <alignment horizontal="right" vertical="top"/>
    </xf>
    <xf numFmtId="0" fontId="7" fillId="0" borderId="18" xfId="0" applyFont="1" applyBorder="1" applyAlignment="1">
      <alignment horizontal="left" vertical="top"/>
    </xf>
    <xf numFmtId="0" fontId="7" fillId="0" borderId="24" xfId="0" applyFont="1" applyBorder="1" applyAlignment="1">
      <alignment horizontal="left" vertical="top"/>
    </xf>
    <xf numFmtId="167" fontId="25" fillId="0" borderId="24" xfId="0" applyNumberFormat="1" applyFont="1" applyBorder="1" applyAlignment="1">
      <alignment horizontal="right" vertical="top"/>
    </xf>
    <xf numFmtId="167" fontId="25" fillId="0" borderId="1" xfId="0" applyNumberFormat="1" applyFont="1" applyBorder="1" applyAlignment="1">
      <alignment horizontal="right" vertical="top"/>
    </xf>
    <xf numFmtId="0" fontId="7" fillId="0" borderId="7" xfId="0" applyFont="1" applyBorder="1" applyAlignment="1">
      <alignment horizontal="left" vertical="top"/>
    </xf>
    <xf numFmtId="0" fontId="7" fillId="0" borderId="15" xfId="0" applyFont="1" applyBorder="1" applyAlignment="1">
      <alignment horizontal="left" vertical="top"/>
    </xf>
    <xf numFmtId="167" fontId="25" fillId="0" borderId="27" xfId="0" applyNumberFormat="1" applyFont="1" applyBorder="1" applyAlignment="1">
      <alignment horizontal="right" vertical="top"/>
    </xf>
    <xf numFmtId="167" fontId="7" fillId="0" borderId="27" xfId="0" applyNumberFormat="1" applyFont="1" applyBorder="1" applyAlignment="1">
      <alignment horizontal="left" vertical="top"/>
    </xf>
    <xf numFmtId="167" fontId="7" fillId="0" borderId="2" xfId="0" applyNumberFormat="1" applyFont="1" applyBorder="1" applyAlignment="1">
      <alignment horizontal="left" vertical="top" wrapText="1"/>
    </xf>
    <xf numFmtId="167" fontId="7" fillId="0" borderId="24" xfId="0" applyNumberFormat="1" applyFont="1" applyBorder="1" applyAlignment="1">
      <alignment horizontal="left" vertical="top" wrapText="1"/>
    </xf>
    <xf numFmtId="0" fontId="7" fillId="0" borderId="2" xfId="0" applyFont="1" applyBorder="1" applyAlignment="1">
      <alignment horizontal="left" vertical="top"/>
    </xf>
    <xf numFmtId="167" fontId="25" fillId="0" borderId="2" xfId="0" applyNumberFormat="1" applyFont="1" applyBorder="1" applyAlignment="1">
      <alignment horizontal="right" vertical="top"/>
    </xf>
    <xf numFmtId="167" fontId="7" fillId="0" borderId="0" xfId="0" applyNumberFormat="1" applyFont="1" applyAlignment="1">
      <alignment horizontal="left" vertical="top"/>
    </xf>
    <xf numFmtId="167" fontId="7" fillId="0" borderId="24" xfId="0" applyNumberFormat="1" applyFont="1" applyBorder="1" applyAlignment="1">
      <alignment horizontal="left" vertical="top"/>
    </xf>
    <xf numFmtId="0" fontId="7" fillId="0" borderId="9" xfId="0" applyFont="1" applyBorder="1" applyAlignment="1">
      <alignment horizontal="left" vertical="top"/>
    </xf>
    <xf numFmtId="0" fontId="7" fillId="0" borderId="8" xfId="0" applyFont="1" applyBorder="1" applyAlignment="1">
      <alignment horizontal="left" vertical="top"/>
    </xf>
    <xf numFmtId="167" fontId="7" fillId="0" borderId="26" xfId="0" applyNumberFormat="1" applyFont="1" applyBorder="1" applyAlignment="1">
      <alignment horizontal="left" vertical="top"/>
    </xf>
    <xf numFmtId="0" fontId="25" fillId="0" borderId="2" xfId="0" applyFont="1" applyBorder="1" applyAlignment="1">
      <alignment horizontal="right" vertical="top"/>
    </xf>
    <xf numFmtId="0" fontId="0" fillId="0" borderId="0" xfId="0" applyAlignment="1">
      <alignment vertical="top"/>
    </xf>
    <xf numFmtId="0" fontId="7" fillId="0" borderId="17" xfId="0" applyFont="1" applyBorder="1" applyAlignment="1">
      <alignment horizontal="left" vertical="top"/>
    </xf>
    <xf numFmtId="167" fontId="25" fillId="0" borderId="14" xfId="0" applyNumberFormat="1" applyFont="1" applyBorder="1" applyAlignment="1">
      <alignment horizontal="right" vertical="top"/>
    </xf>
    <xf numFmtId="0" fontId="7" fillId="0" borderId="0" xfId="0" applyFont="1" applyAlignment="1">
      <alignment horizontal="left" vertical="top" wrapText="1"/>
    </xf>
    <xf numFmtId="4" fontId="25" fillId="0" borderId="0" xfId="0" applyNumberFormat="1" applyFont="1" applyAlignment="1">
      <alignment horizontal="right" vertical="top"/>
    </xf>
    <xf numFmtId="0" fontId="0" fillId="0" borderId="0" xfId="0" applyAlignment="1">
      <alignment horizontal="left" vertical="top"/>
    </xf>
    <xf numFmtId="0" fontId="0" fillId="0" borderId="24" xfId="0" applyBorder="1" applyAlignment="1">
      <alignment horizontal="left" vertical="top"/>
    </xf>
    <xf numFmtId="167" fontId="7" fillId="0" borderId="0" xfId="0" applyNumberFormat="1" applyFont="1" applyAlignment="1">
      <alignment horizontal="right" vertical="top"/>
    </xf>
    <xf numFmtId="0" fontId="7" fillId="0" borderId="13" xfId="0" applyFont="1" applyBorder="1" applyAlignment="1">
      <alignment horizontal="left" vertical="top"/>
    </xf>
    <xf numFmtId="0" fontId="7" fillId="0" borderId="14" xfId="0" applyFont="1" applyBorder="1" applyAlignment="1">
      <alignment horizontal="left" vertical="top" wrapText="1"/>
    </xf>
    <xf numFmtId="9" fontId="25" fillId="0" borderId="2" xfId="0" applyNumberFormat="1" applyFont="1" applyBorder="1" applyAlignment="1">
      <alignment horizontal="right" vertical="top"/>
    </xf>
    <xf numFmtId="0" fontId="7" fillId="0" borderId="19" xfId="0" applyFont="1" applyBorder="1" applyAlignment="1">
      <alignment horizontal="left" vertical="top"/>
    </xf>
    <xf numFmtId="167" fontId="25" fillId="0" borderId="19" xfId="0" applyNumberFormat="1" applyFont="1" applyBorder="1" applyAlignment="1">
      <alignment horizontal="right" vertical="top"/>
    </xf>
    <xf numFmtId="9" fontId="25" fillId="0" borderId="0" xfId="2" applyFont="1" applyFill="1" applyBorder="1" applyAlignment="1">
      <alignment horizontal="right" vertical="top"/>
    </xf>
    <xf numFmtId="9" fontId="7" fillId="0" borderId="0" xfId="2" applyFont="1" applyFill="1" applyBorder="1" applyAlignment="1">
      <alignment horizontal="left" vertical="top"/>
    </xf>
    <xf numFmtId="9" fontId="7" fillId="0" borderId="0" xfId="2" applyFont="1" applyFill="1" applyBorder="1" applyAlignment="1">
      <alignment vertical="top"/>
    </xf>
    <xf numFmtId="0" fontId="7" fillId="0" borderId="14" xfId="0" applyFont="1" applyBorder="1" applyAlignment="1">
      <alignment horizontal="left" vertical="top"/>
    </xf>
    <xf numFmtId="0" fontId="25" fillId="0" borderId="14" xfId="0" applyFont="1" applyBorder="1" applyAlignment="1">
      <alignment horizontal="right" vertical="top"/>
    </xf>
    <xf numFmtId="0" fontId="7" fillId="0" borderId="20" xfId="0" applyFont="1" applyBorder="1" applyAlignment="1">
      <alignment horizontal="left" vertical="top"/>
    </xf>
    <xf numFmtId="0" fontId="7" fillId="0" borderId="28" xfId="0" applyFont="1" applyBorder="1" applyAlignment="1">
      <alignment horizontal="left" vertical="top"/>
    </xf>
    <xf numFmtId="0" fontId="7" fillId="0" borderId="23" xfId="0" applyFont="1" applyBorder="1" applyAlignment="1">
      <alignment horizontal="left" vertical="top"/>
    </xf>
    <xf numFmtId="0" fontId="7" fillId="0" borderId="22" xfId="0" applyFont="1" applyBorder="1" applyAlignment="1">
      <alignment horizontal="left" vertical="top"/>
    </xf>
    <xf numFmtId="167" fontId="25" fillId="0" borderId="22" xfId="0" applyNumberFormat="1" applyFont="1" applyBorder="1" applyAlignment="1">
      <alignment horizontal="right" vertical="top"/>
    </xf>
    <xf numFmtId="0" fontId="7" fillId="3" borderId="0" xfId="0" applyFont="1" applyFill="1" applyAlignment="1" applyProtection="1">
      <alignment horizontal="right" vertical="top"/>
      <protection locked="0"/>
    </xf>
    <xf numFmtId="4" fontId="7" fillId="3" borderId="0" xfId="0" applyNumberFormat="1" applyFont="1" applyFill="1" applyAlignment="1" applyProtection="1">
      <alignment horizontal="right" vertical="top"/>
      <protection locked="0"/>
    </xf>
    <xf numFmtId="4" fontId="7" fillId="3" borderId="1" xfId="0" applyNumberFormat="1" applyFont="1" applyFill="1" applyBorder="1" applyAlignment="1">
      <alignment horizontal="right" vertical="top"/>
    </xf>
    <xf numFmtId="4" fontId="14" fillId="3" borderId="0" xfId="0" applyNumberFormat="1" applyFont="1" applyFill="1" applyAlignment="1">
      <alignment horizontal="right" vertical="top"/>
    </xf>
    <xf numFmtId="0" fontId="30" fillId="3" borderId="0" xfId="0" applyFont="1" applyFill="1" applyAlignment="1" applyProtection="1">
      <alignment horizontal="center" vertical="top"/>
      <protection locked="0"/>
    </xf>
    <xf numFmtId="0" fontId="30" fillId="3" borderId="24" xfId="0" applyFont="1" applyFill="1" applyBorder="1" applyAlignment="1" applyProtection="1">
      <alignment horizontal="center" vertical="top"/>
      <protection locked="0"/>
    </xf>
    <xf numFmtId="37" fontId="7" fillId="2" borderId="0" xfId="0" applyNumberFormat="1" applyFont="1" applyFill="1" applyAlignment="1">
      <alignment vertical="top"/>
    </xf>
    <xf numFmtId="37" fontId="7" fillId="2" borderId="0" xfId="0" applyNumberFormat="1" applyFont="1" applyFill="1" applyAlignment="1">
      <alignment horizontal="right" vertical="top"/>
    </xf>
    <xf numFmtId="37" fontId="9" fillId="2" borderId="0" xfId="0" applyNumberFormat="1" applyFont="1" applyFill="1" applyAlignment="1">
      <alignment vertical="top"/>
    </xf>
    <xf numFmtId="37" fontId="9" fillId="2" borderId="0" xfId="0" applyNumberFormat="1" applyFont="1" applyFill="1" applyAlignment="1">
      <alignment horizontal="right" vertical="top"/>
    </xf>
    <xf numFmtId="1" fontId="9" fillId="3" borderId="0" xfId="0" applyNumberFormat="1" applyFont="1" applyFill="1" applyAlignment="1" applyProtection="1">
      <alignment horizontal="center" vertical="top"/>
      <protection locked="0"/>
    </xf>
    <xf numFmtId="1" fontId="9" fillId="3" borderId="24" xfId="0" applyNumberFormat="1" applyFont="1" applyFill="1" applyBorder="1" applyAlignment="1" applyProtection="1">
      <alignment horizontal="center" vertical="top"/>
      <protection locked="0"/>
    </xf>
    <xf numFmtId="0" fontId="9" fillId="2" borderId="27" xfId="0" applyFont="1" applyFill="1" applyBorder="1" applyAlignment="1">
      <alignment horizontal="right" vertical="top" wrapText="1"/>
    </xf>
    <xf numFmtId="2" fontId="4" fillId="2" borderId="0" xfId="0" applyNumberFormat="1" applyFont="1" applyFill="1" applyAlignment="1">
      <alignment horizontal="left" vertical="top"/>
    </xf>
    <xf numFmtId="0" fontId="29" fillId="3" borderId="0" xfId="0" applyFont="1" applyFill="1" applyAlignment="1">
      <alignment vertical="top" wrapText="1"/>
    </xf>
    <xf numFmtId="0" fontId="17" fillId="3" borderId="0" xfId="0" applyFont="1" applyFill="1" applyAlignment="1">
      <alignment horizontal="right" vertical="top"/>
    </xf>
    <xf numFmtId="0" fontId="17" fillId="3" borderId="0" xfId="0" applyFont="1" applyFill="1" applyAlignment="1">
      <alignment vertical="top"/>
    </xf>
    <xf numFmtId="0" fontId="24" fillId="3" borderId="0" xfId="0" applyFont="1" applyFill="1" applyAlignment="1">
      <alignment vertical="top"/>
    </xf>
    <xf numFmtId="0" fontId="16" fillId="3" borderId="0" xfId="0" applyFont="1" applyFill="1" applyAlignment="1">
      <alignment vertical="top"/>
    </xf>
    <xf numFmtId="0" fontId="25" fillId="3" borderId="0" xfId="0" applyFont="1" applyFill="1" applyAlignment="1">
      <alignment vertical="top"/>
    </xf>
    <xf numFmtId="0" fontId="37" fillId="3" borderId="0" xfId="0" applyFont="1" applyFill="1" applyAlignment="1">
      <alignment vertical="top"/>
    </xf>
    <xf numFmtId="3" fontId="7" fillId="3" borderId="0" xfId="0" applyNumberFormat="1" applyFont="1" applyFill="1" applyAlignment="1">
      <alignment horizontal="right" vertical="top"/>
    </xf>
    <xf numFmtId="0" fontId="7" fillId="3" borderId="0" xfId="0" quotePrefix="1" applyFont="1" applyFill="1" applyAlignment="1">
      <alignment vertical="top"/>
    </xf>
    <xf numFmtId="3" fontId="7" fillId="3" borderId="0" xfId="0" applyNumberFormat="1" applyFont="1" applyFill="1" applyAlignment="1" applyProtection="1">
      <alignment horizontal="right" vertical="top"/>
      <protection locked="0"/>
    </xf>
    <xf numFmtId="166" fontId="7" fillId="3" borderId="0" xfId="0" applyNumberFormat="1" applyFont="1" applyFill="1" applyAlignment="1" applyProtection="1">
      <alignment horizontal="right" vertical="top"/>
      <protection locked="0"/>
    </xf>
    <xf numFmtId="3" fontId="7" fillId="3" borderId="0" xfId="0" applyNumberFormat="1" applyFont="1" applyFill="1" applyAlignment="1">
      <alignment horizontal="center" vertical="top"/>
    </xf>
    <xf numFmtId="4" fontId="7" fillId="3" borderId="0" xfId="0" quotePrefix="1" applyNumberFormat="1" applyFont="1" applyFill="1" applyAlignment="1">
      <alignment vertical="top"/>
    </xf>
    <xf numFmtId="4" fontId="7" fillId="3" borderId="0" xfId="0" applyNumberFormat="1" applyFont="1" applyFill="1" applyAlignment="1">
      <alignment vertical="top"/>
    </xf>
    <xf numFmtId="4" fontId="7" fillId="3" borderId="0" xfId="0" applyNumberFormat="1" applyFont="1" applyFill="1" applyAlignment="1" applyProtection="1">
      <alignment horizontal="center" vertical="top"/>
      <protection locked="0"/>
    </xf>
    <xf numFmtId="3" fontId="16" fillId="3" borderId="0" xfId="0" applyNumberFormat="1" applyFont="1" applyFill="1" applyAlignment="1">
      <alignment horizontal="right" vertical="top"/>
    </xf>
    <xf numFmtId="4" fontId="15" fillId="3" borderId="0" xfId="0" applyNumberFormat="1" applyFont="1" applyFill="1" applyAlignment="1">
      <alignment horizontal="right" vertical="top"/>
    </xf>
    <xf numFmtId="4" fontId="16" fillId="3" borderId="0" xfId="0" applyNumberFormat="1" applyFont="1" applyFill="1" applyAlignment="1">
      <alignment horizontal="right" vertical="top"/>
    </xf>
    <xf numFmtId="3" fontId="7" fillId="3" borderId="0" xfId="0" applyNumberFormat="1" applyFont="1" applyFill="1" applyAlignment="1" applyProtection="1">
      <alignment horizontal="center" vertical="top"/>
      <protection locked="0"/>
    </xf>
    <xf numFmtId="0" fontId="9" fillId="3" borderId="0" xfId="0" applyFont="1" applyFill="1" applyAlignment="1">
      <alignment horizontal="left" vertical="top"/>
    </xf>
    <xf numFmtId="0" fontId="7" fillId="3" borderId="14" xfId="0" applyFont="1" applyFill="1" applyBorder="1" applyAlignment="1">
      <alignment vertical="top"/>
    </xf>
    <xf numFmtId="4" fontId="7" fillId="3" borderId="19" xfId="0" applyNumberFormat="1" applyFont="1" applyFill="1" applyBorder="1" applyAlignment="1" applyProtection="1">
      <alignment horizontal="right" vertical="top"/>
      <protection locked="0"/>
    </xf>
    <xf numFmtId="3" fontId="7" fillId="3" borderId="1" xfId="0" applyNumberFormat="1" applyFont="1" applyFill="1" applyBorder="1" applyAlignment="1">
      <alignment horizontal="center" vertical="top"/>
    </xf>
    <xf numFmtId="3" fontId="7" fillId="3" borderId="1" xfId="0" applyNumberFormat="1" applyFont="1" applyFill="1" applyBorder="1" applyAlignment="1">
      <alignment horizontal="right" vertical="top"/>
    </xf>
    <xf numFmtId="164" fontId="7" fillId="3" borderId="0" xfId="1" applyNumberFormat="1" applyFont="1" applyFill="1" applyAlignment="1">
      <alignment vertical="top"/>
    </xf>
    <xf numFmtId="4" fontId="7" fillId="3" borderId="1" xfId="0" applyNumberFormat="1" applyFont="1" applyFill="1" applyBorder="1" applyAlignment="1" applyProtection="1">
      <alignment horizontal="right" vertical="top"/>
      <protection locked="0"/>
    </xf>
    <xf numFmtId="3" fontId="7" fillId="3" borderId="0" xfId="0" applyNumberFormat="1" applyFont="1" applyFill="1" applyAlignment="1">
      <alignment vertical="top"/>
    </xf>
    <xf numFmtId="3" fontId="7" fillId="3" borderId="24" xfId="0" applyNumberFormat="1" applyFont="1" applyFill="1" applyBorder="1" applyAlignment="1">
      <alignment horizontal="center" vertical="top"/>
    </xf>
    <xf numFmtId="3" fontId="9" fillId="3" borderId="0" xfId="0" applyNumberFormat="1" applyFont="1" applyFill="1" applyAlignment="1">
      <alignment horizontal="right" vertical="top"/>
    </xf>
    <xf numFmtId="0" fontId="9" fillId="2" borderId="27" xfId="0" applyFont="1" applyFill="1" applyBorder="1" applyAlignment="1">
      <alignment horizontal="center" vertical="top" wrapText="1"/>
    </xf>
    <xf numFmtId="0" fontId="6" fillId="3" borderId="24" xfId="0" applyFont="1" applyFill="1" applyBorder="1" applyAlignment="1">
      <alignment vertical="top"/>
    </xf>
    <xf numFmtId="0" fontId="9" fillId="3" borderId="27" xfId="0" applyFont="1" applyFill="1" applyBorder="1" applyAlignment="1">
      <alignment horizontal="left"/>
    </xf>
    <xf numFmtId="0" fontId="8" fillId="3" borderId="27" xfId="0" applyFont="1" applyFill="1" applyBorder="1" applyAlignment="1">
      <alignment horizontal="left"/>
    </xf>
    <xf numFmtId="0" fontId="6" fillId="3" borderId="27" xfId="0" applyFont="1" applyFill="1" applyBorder="1"/>
    <xf numFmtId="0" fontId="17" fillId="3" borderId="0" xfId="0" applyFont="1" applyFill="1"/>
    <xf numFmtId="0" fontId="5" fillId="3" borderId="24" xfId="0" applyFont="1" applyFill="1" applyBorder="1" applyAlignment="1">
      <alignment horizontal="left" vertical="top" wrapText="1"/>
    </xf>
    <xf numFmtId="0" fontId="6" fillId="3" borderId="0" xfId="0" applyFont="1" applyFill="1" applyAlignment="1">
      <alignment horizontal="center" vertical="top"/>
    </xf>
    <xf numFmtId="0" fontId="9" fillId="3" borderId="24" xfId="0" applyFont="1" applyFill="1" applyBorder="1" applyAlignment="1">
      <alignment horizontal="left" vertical="top"/>
    </xf>
    <xf numFmtId="0" fontId="9" fillId="3" borderId="24" xfId="0" applyFont="1" applyFill="1" applyBorder="1" applyAlignment="1">
      <alignment horizontal="right" vertical="top"/>
    </xf>
    <xf numFmtId="0" fontId="9" fillId="3" borderId="24" xfId="0" applyFont="1" applyFill="1" applyBorder="1" applyAlignment="1">
      <alignment horizontal="right" vertical="top" wrapText="1"/>
    </xf>
    <xf numFmtId="0" fontId="6" fillId="3" borderId="0" xfId="0" applyFont="1" applyFill="1" applyAlignment="1">
      <alignment horizontal="left"/>
    </xf>
    <xf numFmtId="0" fontId="9" fillId="3" borderId="0" xfId="0" applyFont="1" applyFill="1" applyAlignment="1">
      <alignment horizontal="left"/>
    </xf>
    <xf numFmtId="0" fontId="14" fillId="3" borderId="0" xfId="0" applyFont="1" applyFill="1" applyAlignment="1">
      <alignment horizontal="center"/>
    </xf>
    <xf numFmtId="3" fontId="7" fillId="3" borderId="0" xfId="0" applyNumberFormat="1" applyFont="1" applyFill="1" applyAlignment="1">
      <alignment horizontal="right"/>
    </xf>
    <xf numFmtId="0" fontId="14" fillId="3" borderId="0" xfId="0" applyFont="1" applyFill="1"/>
    <xf numFmtId="0" fontId="5" fillId="3" borderId="0" xfId="0" applyFont="1" applyFill="1" applyAlignment="1">
      <alignment horizontal="left"/>
    </xf>
    <xf numFmtId="0" fontId="5" fillId="3" borderId="0" xfId="0" applyFont="1" applyFill="1" applyAlignment="1">
      <alignment horizontal="left" wrapText="1"/>
    </xf>
    <xf numFmtId="0" fontId="14" fillId="3" borderId="0" xfId="0" applyFont="1" applyFill="1" applyAlignment="1">
      <alignment horizontal="left" vertical="top"/>
    </xf>
    <xf numFmtId="3" fontId="47" fillId="3" borderId="0" xfId="0" applyNumberFormat="1" applyFont="1" applyFill="1" applyAlignment="1">
      <alignment horizontal="right" vertical="top"/>
    </xf>
    <xf numFmtId="0" fontId="6" fillId="3" borderId="0" xfId="0" applyFont="1" applyFill="1" applyAlignment="1">
      <alignment horizontal="left" wrapText="1"/>
    </xf>
    <xf numFmtId="0" fontId="6" fillId="3" borderId="24" xfId="0" applyFont="1" applyFill="1" applyBorder="1" applyAlignment="1">
      <alignment horizontal="left"/>
    </xf>
    <xf numFmtId="0" fontId="7" fillId="3" borderId="24" xfId="0" applyFont="1" applyFill="1" applyBorder="1" applyAlignment="1">
      <alignment horizontal="left"/>
    </xf>
    <xf numFmtId="0" fontId="9" fillId="3" borderId="0" xfId="0" applyFont="1" applyFill="1"/>
    <xf numFmtId="3" fontId="9" fillId="3" borderId="0" xfId="0" applyNumberFormat="1" applyFont="1" applyFill="1" applyAlignment="1">
      <alignment horizontal="right"/>
    </xf>
    <xf numFmtId="3" fontId="47" fillId="3" borderId="0" xfId="0" applyNumberFormat="1" applyFont="1" applyFill="1"/>
    <xf numFmtId="3" fontId="47" fillId="3" borderId="0" xfId="0" applyNumberFormat="1" applyFont="1" applyFill="1" applyAlignment="1">
      <alignment horizontal="right"/>
    </xf>
    <xf numFmtId="1" fontId="14" fillId="3" borderId="0" xfId="0" applyNumberFormat="1" applyFont="1" applyFill="1"/>
    <xf numFmtId="3" fontId="7" fillId="3" borderId="1" xfId="0" applyNumberFormat="1" applyFont="1" applyFill="1" applyBorder="1" applyAlignment="1">
      <alignment horizontal="right"/>
    </xf>
    <xf numFmtId="3" fontId="9" fillId="3" borderId="1" xfId="0" applyNumberFormat="1" applyFont="1" applyFill="1" applyBorder="1" applyAlignment="1">
      <alignment horizontal="right"/>
    </xf>
    <xf numFmtId="0" fontId="9" fillId="3" borderId="27" xfId="0" applyFont="1" applyFill="1" applyBorder="1" applyAlignment="1">
      <alignment horizontal="center" vertical="top" wrapText="1"/>
    </xf>
    <xf numFmtId="0" fontId="11" fillId="3" borderId="0" xfId="0" applyFont="1" applyFill="1" applyAlignment="1" applyProtection="1">
      <alignment horizontal="left"/>
      <protection locked="0"/>
    </xf>
    <xf numFmtId="9" fontId="28" fillId="3" borderId="0" xfId="0" applyNumberFormat="1" applyFont="1" applyFill="1" applyAlignment="1">
      <alignment horizontal="left" vertical="center" indent="3"/>
    </xf>
    <xf numFmtId="168" fontId="31" fillId="3" borderId="0" xfId="0" applyNumberFormat="1" applyFont="1" applyFill="1" applyAlignment="1">
      <alignment horizontal="center" vertical="center"/>
    </xf>
    <xf numFmtId="0" fontId="7" fillId="2" borderId="24" xfId="0" applyFont="1" applyFill="1" applyBorder="1" applyAlignment="1">
      <alignment vertical="top"/>
    </xf>
    <xf numFmtId="4" fontId="7" fillId="2" borderId="24" xfId="0" applyNumberFormat="1" applyFont="1" applyFill="1" applyBorder="1" applyAlignment="1">
      <alignment vertical="top"/>
    </xf>
    <xf numFmtId="0" fontId="9" fillId="2" borderId="27" xfId="0" applyFont="1" applyFill="1" applyBorder="1" applyAlignment="1">
      <alignment vertical="top"/>
    </xf>
    <xf numFmtId="0" fontId="5" fillId="2" borderId="27" xfId="0" applyFont="1" applyFill="1" applyBorder="1" applyAlignment="1">
      <alignment horizontal="right" vertical="top"/>
    </xf>
    <xf numFmtId="0" fontId="6" fillId="2" borderId="0" xfId="0" applyFont="1" applyFill="1" applyAlignment="1">
      <alignment horizontal="right" vertical="top"/>
    </xf>
    <xf numFmtId="0" fontId="6" fillId="2" borderId="24" xfId="0" applyFont="1" applyFill="1" applyBorder="1" applyAlignment="1">
      <alignment horizontal="right" vertical="top"/>
    </xf>
    <xf numFmtId="0" fontId="9" fillId="2" borderId="0" xfId="0" applyFont="1" applyFill="1" applyAlignment="1">
      <alignment horizontal="left"/>
    </xf>
    <xf numFmtId="37" fontId="9" fillId="2" borderId="0" xfId="0" applyNumberFormat="1" applyFont="1" applyFill="1"/>
    <xf numFmtId="37" fontId="9" fillId="2" borderId="0" xfId="0" applyNumberFormat="1" applyFont="1" applyFill="1" applyAlignment="1">
      <alignment horizontal="right"/>
    </xf>
    <xf numFmtId="0" fontId="19" fillId="2" borderId="0" xfId="0" applyFont="1" applyFill="1"/>
    <xf numFmtId="0" fontId="9" fillId="2" borderId="1" xfId="0" applyFont="1" applyFill="1" applyBorder="1"/>
    <xf numFmtId="37" fontId="9" fillId="2" borderId="1" xfId="0" applyNumberFormat="1" applyFont="1" applyFill="1" applyBorder="1"/>
    <xf numFmtId="37" fontId="9" fillId="2" borderId="1" xfId="0" applyNumberFormat="1" applyFont="1" applyFill="1" applyBorder="1" applyAlignment="1">
      <alignment horizontal="right"/>
    </xf>
    <xf numFmtId="169" fontId="7" fillId="2" borderId="0" xfId="0" applyNumberFormat="1" applyFont="1" applyFill="1" applyAlignment="1">
      <alignment horizontal="right"/>
    </xf>
    <xf numFmtId="3" fontId="7" fillId="2" borderId="0" xfId="0" applyNumberFormat="1" applyFont="1" applyFill="1" applyAlignment="1">
      <alignment vertical="top"/>
    </xf>
    <xf numFmtId="3" fontId="9" fillId="2" borderId="0" xfId="0" applyNumberFormat="1" applyFont="1" applyFill="1" applyAlignment="1">
      <alignment vertical="top"/>
    </xf>
    <xf numFmtId="3" fontId="9" fillId="2" borderId="0" xfId="0" applyNumberFormat="1" applyFont="1" applyFill="1"/>
    <xf numFmtId="3" fontId="9" fillId="2" borderId="1" xfId="0" applyNumberFormat="1" applyFont="1" applyFill="1" applyBorder="1"/>
    <xf numFmtId="0" fontId="9" fillId="2" borderId="24" xfId="0" applyFont="1" applyFill="1" applyBorder="1" applyAlignment="1">
      <alignment vertical="top"/>
    </xf>
    <xf numFmtId="0" fontId="9" fillId="2" borderId="27" xfId="0" applyFont="1" applyFill="1" applyBorder="1" applyAlignment="1">
      <alignment horizontal="left" vertical="top" wrapText="1"/>
    </xf>
    <xf numFmtId="0" fontId="5" fillId="3" borderId="27" xfId="0" applyFont="1" applyFill="1" applyBorder="1" applyAlignment="1">
      <alignment horizontal="left" vertical="top" wrapText="1"/>
    </xf>
    <xf numFmtId="0" fontId="5" fillId="3" borderId="27" xfId="0" applyFont="1" applyFill="1" applyBorder="1" applyAlignment="1">
      <alignment horizontal="right" vertical="top" wrapText="1"/>
    </xf>
    <xf numFmtId="165" fontId="21" fillId="2" borderId="0" xfId="3" applyNumberFormat="1" applyFont="1" applyFill="1" applyBorder="1" applyAlignment="1" applyProtection="1">
      <alignment horizontal="right" vertical="top"/>
      <protection locked="0"/>
    </xf>
    <xf numFmtId="164" fontId="14" fillId="2" borderId="0" xfId="0" applyNumberFormat="1" applyFont="1" applyFill="1" applyAlignment="1">
      <alignment vertical="top"/>
    </xf>
    <xf numFmtId="44" fontId="14" fillId="2" borderId="0" xfId="0" applyNumberFormat="1" applyFont="1" applyFill="1" applyAlignment="1">
      <alignment vertical="top"/>
    </xf>
    <xf numFmtId="3" fontId="7" fillId="2" borderId="24" xfId="0" applyNumberFormat="1" applyFont="1" applyFill="1" applyBorder="1" applyAlignment="1">
      <alignment horizontal="right"/>
    </xf>
    <xf numFmtId="4" fontId="7" fillId="3" borderId="0" xfId="0" applyNumberFormat="1" applyFont="1" applyFill="1" applyAlignment="1" applyProtection="1">
      <alignment horizontal="right"/>
      <protection locked="0"/>
    </xf>
    <xf numFmtId="4" fontId="7" fillId="3" borderId="0" xfId="0" applyNumberFormat="1" applyFont="1" applyFill="1" applyAlignment="1">
      <alignment horizontal="right"/>
    </xf>
    <xf numFmtId="3" fontId="16" fillId="3" borderId="0" xfId="0" applyNumberFormat="1" applyFont="1" applyFill="1" applyAlignment="1">
      <alignment horizontal="right"/>
    </xf>
    <xf numFmtId="4" fontId="14" fillId="3" borderId="0" xfId="0" applyNumberFormat="1" applyFont="1" applyFill="1" applyAlignment="1">
      <alignment horizontal="right"/>
    </xf>
    <xf numFmtId="4" fontId="15" fillId="3" borderId="0" xfId="0" applyNumberFormat="1" applyFont="1" applyFill="1" applyAlignment="1">
      <alignment horizontal="right"/>
    </xf>
    <xf numFmtId="3" fontId="7" fillId="3" borderId="0" xfId="0" applyNumberFormat="1" applyFont="1" applyFill="1" applyAlignment="1">
      <alignment horizontal="center"/>
    </xf>
    <xf numFmtId="0" fontId="9" fillId="3" borderId="3" xfId="0" applyFont="1" applyFill="1" applyBorder="1" applyAlignment="1">
      <alignment horizontal="right" vertical="top" wrapText="1"/>
    </xf>
    <xf numFmtId="0" fontId="9" fillId="3" borderId="1" xfId="0" applyFont="1" applyFill="1" applyBorder="1" applyAlignment="1">
      <alignment horizontal="right" vertical="top" wrapText="1"/>
    </xf>
    <xf numFmtId="0" fontId="5" fillId="3" borderId="27" xfId="0" applyFont="1" applyFill="1" applyBorder="1" applyAlignment="1">
      <alignment vertical="top"/>
    </xf>
    <xf numFmtId="0" fontId="9" fillId="3" borderId="27" xfId="0" applyFont="1" applyFill="1" applyBorder="1" applyAlignment="1">
      <alignment horizontal="left" vertical="top" wrapText="1"/>
    </xf>
    <xf numFmtId="0" fontId="9" fillId="3" borderId="27" xfId="0" applyFont="1" applyFill="1" applyBorder="1" applyAlignment="1">
      <alignment horizontal="right" vertical="top" wrapText="1"/>
    </xf>
    <xf numFmtId="0" fontId="9" fillId="3" borderId="27" xfId="0" applyFont="1" applyFill="1" applyBorder="1" applyAlignment="1">
      <alignment vertical="top" wrapText="1"/>
    </xf>
    <xf numFmtId="0" fontId="5" fillId="3" borderId="27" xfId="0" applyFont="1" applyFill="1" applyBorder="1" applyAlignment="1">
      <alignment horizontal="center" vertical="top" wrapText="1"/>
    </xf>
    <xf numFmtId="9" fontId="9" fillId="3" borderId="27" xfId="2" applyFont="1" applyFill="1" applyBorder="1" applyAlignment="1">
      <alignment horizontal="center" vertical="top" wrapText="1"/>
    </xf>
    <xf numFmtId="0" fontId="41" fillId="3" borderId="27" xfId="0" applyFont="1" applyFill="1" applyBorder="1" applyAlignment="1">
      <alignment horizontal="center" vertical="top" wrapText="1"/>
    </xf>
    <xf numFmtId="37" fontId="25" fillId="3" borderId="0" xfId="0" applyNumberFormat="1" applyFont="1" applyFill="1" applyAlignment="1" applyProtection="1">
      <alignment vertical="top"/>
      <protection locked="0"/>
    </xf>
    <xf numFmtId="3" fontId="7" fillId="3" borderId="2" xfId="0" applyNumberFormat="1" applyFont="1" applyFill="1" applyBorder="1" applyAlignment="1" applyProtection="1">
      <alignment horizontal="center" vertical="top"/>
      <protection locked="0"/>
    </xf>
    <xf numFmtId="3" fontId="25" fillId="3" borderId="0" xfId="0" applyNumberFormat="1" applyFont="1" applyFill="1" applyAlignment="1" applyProtection="1">
      <alignment horizontal="center" vertical="top"/>
      <protection locked="0"/>
    </xf>
    <xf numFmtId="9" fontId="25" fillId="3" borderId="0" xfId="2" applyFont="1" applyFill="1" applyBorder="1" applyAlignment="1" applyProtection="1">
      <alignment horizontal="center" vertical="top"/>
      <protection locked="0"/>
    </xf>
    <xf numFmtId="1" fontId="23" fillId="3" borderId="0" xfId="0" applyNumberFormat="1" applyFont="1" applyFill="1" applyAlignment="1">
      <alignment horizontal="center" vertical="top"/>
    </xf>
    <xf numFmtId="3" fontId="7" fillId="3" borderId="14" xfId="0" applyNumberFormat="1" applyFont="1" applyFill="1" applyBorder="1" applyAlignment="1" applyProtection="1">
      <alignment horizontal="center" vertical="top"/>
      <protection locked="0"/>
    </xf>
    <xf numFmtId="3" fontId="25" fillId="3" borderId="14" xfId="0" applyNumberFormat="1" applyFont="1" applyFill="1" applyBorder="1" applyAlignment="1" applyProtection="1">
      <alignment horizontal="center" vertical="top"/>
      <protection locked="0"/>
    </xf>
    <xf numFmtId="3" fontId="7" fillId="3" borderId="14" xfId="0" applyNumberFormat="1" applyFont="1" applyFill="1" applyBorder="1" applyAlignment="1">
      <alignment horizontal="center" vertical="top"/>
    </xf>
    <xf numFmtId="3" fontId="9" fillId="3" borderId="12" xfId="0" applyNumberFormat="1" applyFont="1" applyFill="1" applyBorder="1" applyAlignment="1" applyProtection="1">
      <alignment horizontal="center" vertical="top"/>
      <protection locked="0"/>
    </xf>
    <xf numFmtId="3" fontId="9" fillId="3" borderId="12" xfId="0" applyNumberFormat="1" applyFont="1" applyFill="1" applyBorder="1" applyAlignment="1">
      <alignment horizontal="center" vertical="top"/>
    </xf>
    <xf numFmtId="1" fontId="9" fillId="3" borderId="12" xfId="0" applyNumberFormat="1" applyFont="1" applyFill="1" applyBorder="1" applyAlignment="1">
      <alignment horizontal="center" vertical="top"/>
    </xf>
    <xf numFmtId="3" fontId="7" fillId="3" borderId="27" xfId="0" applyNumberFormat="1" applyFont="1" applyFill="1" applyBorder="1" applyAlignment="1" applyProtection="1">
      <alignment horizontal="center" vertical="center"/>
      <protection locked="0"/>
    </xf>
    <xf numFmtId="9" fontId="7" fillId="3" borderId="27" xfId="2" applyFont="1" applyFill="1" applyBorder="1" applyAlignment="1" applyProtection="1">
      <alignment horizontal="center" vertical="center"/>
      <protection locked="0"/>
    </xf>
    <xf numFmtId="0" fontId="5" fillId="2" borderId="27" xfId="0" applyFont="1" applyFill="1" applyBorder="1" applyAlignment="1">
      <alignment horizontal="left" wrapText="1"/>
    </xf>
    <xf numFmtId="0" fontId="5" fillId="2" borderId="27" xfId="0" applyFont="1" applyFill="1" applyBorder="1" applyAlignment="1">
      <alignment horizontal="right" wrapText="1"/>
    </xf>
    <xf numFmtId="0" fontId="7" fillId="0" borderId="27" xfId="0" applyFont="1" applyBorder="1" applyAlignment="1">
      <alignment horizontal="left" vertical="top"/>
    </xf>
    <xf numFmtId="0" fontId="7" fillId="0" borderId="27" xfId="0" applyFont="1" applyBorder="1" applyAlignment="1">
      <alignment horizontal="right" vertical="top"/>
    </xf>
    <xf numFmtId="0" fontId="7" fillId="0" borderId="27" xfId="0" applyFont="1" applyBorder="1" applyAlignment="1">
      <alignment horizontal="right" vertical="top" wrapText="1"/>
    </xf>
    <xf numFmtId="170" fontId="25" fillId="0" borderId="0" xfId="0" applyNumberFormat="1" applyFont="1" applyAlignment="1">
      <alignment horizontal="right" vertical="top"/>
    </xf>
    <xf numFmtId="170" fontId="25" fillId="0" borderId="24" xfId="0" applyNumberFormat="1" applyFont="1" applyBorder="1" applyAlignment="1">
      <alignment horizontal="right" vertical="top"/>
    </xf>
    <xf numFmtId="170" fontId="25" fillId="0" borderId="27" xfId="0" applyNumberFormat="1" applyFont="1" applyBorder="1" applyAlignment="1">
      <alignment horizontal="right" vertical="top"/>
    </xf>
    <xf numFmtId="170" fontId="25" fillId="0" borderId="2" xfId="0" applyNumberFormat="1" applyFont="1" applyBorder="1" applyAlignment="1">
      <alignment horizontal="right" vertical="top"/>
    </xf>
    <xf numFmtId="0" fontId="25" fillId="3" borderId="24" xfId="0" applyFont="1" applyFill="1" applyBorder="1" applyAlignment="1">
      <alignment horizontal="left" vertical="top" wrapText="1"/>
    </xf>
    <xf numFmtId="0" fontId="7" fillId="3" borderId="0" xfId="0" applyFont="1" applyFill="1" applyAlignment="1">
      <alignment horizontal="left" vertical="top" wrapText="1"/>
    </xf>
    <xf numFmtId="0" fontId="8" fillId="3" borderId="24" xfId="0" applyFont="1" applyFill="1" applyBorder="1" applyAlignment="1">
      <alignment horizontal="left" vertical="top"/>
    </xf>
    <xf numFmtId="0" fontId="29" fillId="3" borderId="0" xfId="0" applyFont="1" applyFill="1" applyAlignment="1">
      <alignment horizontal="left" vertical="top" wrapText="1"/>
    </xf>
    <xf numFmtId="0" fontId="7" fillId="3" borderId="0" xfId="0" quotePrefix="1" applyFont="1" applyFill="1" applyAlignment="1">
      <alignment horizontal="right" vertical="top" wrapText="1"/>
    </xf>
    <xf numFmtId="0" fontId="6" fillId="3" borderId="0" xfId="0" applyFont="1" applyFill="1" applyAlignment="1">
      <alignment horizontal="left" vertical="top" wrapText="1"/>
    </xf>
    <xf numFmtId="0" fontId="11" fillId="3" borderId="0" xfId="0" applyFont="1" applyFill="1" applyAlignment="1">
      <alignment vertical="top" wrapText="1"/>
    </xf>
    <xf numFmtId="0" fontId="4" fillId="3" borderId="0" xfId="0" applyFont="1" applyFill="1" applyAlignment="1">
      <alignment vertical="top" wrapText="1"/>
    </xf>
    <xf numFmtId="0" fontId="8" fillId="3" borderId="24" xfId="0" applyFont="1" applyFill="1" applyBorder="1" applyAlignment="1">
      <alignment horizontal="left" vertical="top" wrapText="1"/>
    </xf>
    <xf numFmtId="0" fontId="11" fillId="3" borderId="0" xfId="0" applyFont="1" applyFill="1" applyAlignment="1">
      <alignment horizontal="left" vertical="top" wrapText="1"/>
    </xf>
    <xf numFmtId="0" fontId="8" fillId="3" borderId="1" xfId="0" applyFont="1" applyFill="1" applyBorder="1" applyAlignment="1">
      <alignment horizontal="left" vertical="top" wrapText="1"/>
    </xf>
    <xf numFmtId="0" fontId="11" fillId="3" borderId="0" xfId="0" applyFont="1" applyFill="1" applyAlignment="1" applyProtection="1">
      <alignment horizontal="left" vertical="top" wrapText="1"/>
      <protection locked="0"/>
    </xf>
    <xf numFmtId="0" fontId="2" fillId="2" borderId="24" xfId="0" applyFont="1" applyFill="1" applyBorder="1" applyAlignment="1">
      <alignment horizontal="left" vertical="top" wrapText="1"/>
    </xf>
    <xf numFmtId="0" fontId="4" fillId="2" borderId="0" xfId="0" applyFont="1" applyFill="1" applyAlignment="1">
      <alignment horizontal="left" vertical="top" wrapText="1"/>
    </xf>
    <xf numFmtId="0" fontId="8" fillId="2" borderId="1" xfId="0" applyFont="1" applyFill="1" applyBorder="1" applyAlignment="1">
      <alignment horizontal="left" vertical="top" wrapText="1"/>
    </xf>
    <xf numFmtId="0" fontId="8" fillId="2" borderId="24" xfId="0" applyFont="1" applyFill="1" applyBorder="1" applyAlignment="1">
      <alignment horizontal="left" vertical="top" wrapText="1"/>
    </xf>
    <xf numFmtId="0" fontId="27" fillId="3" borderId="0" xfId="0" applyFont="1" applyFill="1" applyAlignment="1">
      <alignment horizontal="left" vertical="top" wrapText="1"/>
    </xf>
    <xf numFmtId="0" fontId="27" fillId="3" borderId="0" xfId="0" applyFont="1" applyFill="1" applyAlignment="1">
      <alignment horizontal="left" vertical="top"/>
    </xf>
    <xf numFmtId="0" fontId="2" fillId="2" borderId="24" xfId="0" applyFont="1" applyFill="1" applyBorder="1" applyAlignment="1">
      <alignment horizontal="left" wrapText="1"/>
    </xf>
    <xf numFmtId="167" fontId="7" fillId="0" borderId="2" xfId="0" applyNumberFormat="1" applyFont="1" applyBorder="1" applyAlignment="1">
      <alignment horizontal="left" vertical="top" wrapText="1"/>
    </xf>
    <xf numFmtId="167" fontId="7" fillId="0" borderId="24" xfId="0" applyNumberFormat="1" applyFont="1" applyBorder="1" applyAlignment="1">
      <alignment horizontal="left" vertical="top" wrapText="1"/>
    </xf>
  </cellXfs>
  <cellStyles count="16">
    <cellStyle name="Currency 2" xfId="1" xr:uid="{00000000-0005-0000-0000-000000000000}"/>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Normal" xfId="0" builtinId="0"/>
    <cellStyle name="Percent" xfId="2" builtinId="5"/>
    <cellStyle name="Percent 2" xfId="3"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40"/>
  <sheetViews>
    <sheetView tabSelected="1" workbookViewId="0">
      <selection activeCell="B2" sqref="B2:K2"/>
    </sheetView>
  </sheetViews>
  <sheetFormatPr defaultColWidth="9.109375" defaultRowHeight="13.8" x14ac:dyDescent="0.3"/>
  <cols>
    <col min="1" max="2" width="9.109375" style="62"/>
    <col min="3" max="3" width="21.44140625" style="62" customWidth="1"/>
    <col min="4" max="10" width="9.109375" style="62"/>
    <col min="11" max="11" width="17.109375" style="62" customWidth="1"/>
    <col min="12" max="12" width="9.109375" style="62"/>
    <col min="13" max="13" width="4.6640625" style="62" customWidth="1"/>
    <col min="14" max="14" width="14.6640625" style="62" customWidth="1"/>
    <col min="15" max="16384" width="9.109375" style="62"/>
  </cols>
  <sheetData>
    <row r="2" spans="2:17" ht="45" customHeight="1" x14ac:dyDescent="0.3">
      <c r="B2" s="321" t="s">
        <v>397</v>
      </c>
      <c r="C2" s="321"/>
      <c r="D2" s="321"/>
      <c r="E2" s="321"/>
      <c r="F2" s="321"/>
      <c r="G2" s="321"/>
      <c r="H2" s="321"/>
      <c r="I2" s="321"/>
      <c r="J2" s="321"/>
      <c r="K2" s="321"/>
      <c r="L2" s="192"/>
    </row>
    <row r="3" spans="2:17" ht="15.6" x14ac:dyDescent="0.3">
      <c r="B3" s="69" t="s">
        <v>307</v>
      </c>
    </row>
    <row r="5" spans="2:17" x14ac:dyDescent="0.3">
      <c r="B5" s="76" t="s">
        <v>52</v>
      </c>
      <c r="C5" s="59"/>
      <c r="D5" s="59"/>
      <c r="E5" s="59"/>
      <c r="F5" s="59"/>
      <c r="G5" s="59"/>
      <c r="H5" s="59"/>
      <c r="I5" s="59"/>
      <c r="J5" s="59"/>
    </row>
    <row r="6" spans="2:17" ht="18.600000000000001" customHeight="1" x14ac:dyDescent="0.3">
      <c r="B6" s="102" t="s">
        <v>38</v>
      </c>
      <c r="C6" s="323" t="s">
        <v>141</v>
      </c>
      <c r="D6" s="323"/>
      <c r="E6" s="323"/>
      <c r="F6" s="323"/>
      <c r="G6" s="323"/>
      <c r="H6" s="323"/>
      <c r="I6" s="323"/>
      <c r="J6" s="323"/>
      <c r="K6" s="323"/>
    </row>
    <row r="7" spans="2:17" x14ac:dyDescent="0.3">
      <c r="B7" s="102" t="s">
        <v>39</v>
      </c>
      <c r="C7" s="59" t="s">
        <v>53</v>
      </c>
      <c r="D7" s="59"/>
      <c r="E7" s="59"/>
      <c r="F7" s="59"/>
      <c r="G7" s="59"/>
      <c r="H7" s="59"/>
      <c r="I7" s="59"/>
      <c r="J7" s="59"/>
    </row>
    <row r="8" spans="2:17" ht="48" customHeight="1" x14ac:dyDescent="0.3">
      <c r="B8" s="103" t="s">
        <v>40</v>
      </c>
      <c r="C8" s="319" t="s">
        <v>403</v>
      </c>
      <c r="D8" s="319"/>
      <c r="E8" s="319"/>
      <c r="F8" s="319"/>
      <c r="G8" s="319"/>
      <c r="H8" s="319"/>
      <c r="I8" s="319"/>
      <c r="J8" s="319"/>
      <c r="K8" s="319"/>
    </row>
    <row r="9" spans="2:17" ht="18.75" customHeight="1" x14ac:dyDescent="0.3">
      <c r="B9" s="103" t="s">
        <v>41</v>
      </c>
      <c r="C9" s="319" t="s">
        <v>265</v>
      </c>
      <c r="D9" s="319"/>
      <c r="E9" s="319"/>
      <c r="F9" s="319"/>
      <c r="G9" s="319"/>
      <c r="H9" s="319"/>
      <c r="I9" s="319"/>
      <c r="J9" s="319"/>
      <c r="K9" s="319"/>
    </row>
    <row r="10" spans="2:17" x14ac:dyDescent="0.3">
      <c r="C10" s="319"/>
      <c r="D10" s="319"/>
      <c r="E10" s="319"/>
      <c r="F10" s="319"/>
      <c r="G10" s="319"/>
      <c r="H10" s="319"/>
      <c r="I10" s="319"/>
      <c r="J10" s="319"/>
      <c r="K10" s="319"/>
    </row>
    <row r="11" spans="2:17" x14ac:dyDescent="0.3">
      <c r="C11" s="319"/>
      <c r="D11" s="319"/>
      <c r="E11" s="319"/>
      <c r="F11" s="319"/>
      <c r="G11" s="319"/>
      <c r="H11" s="319"/>
      <c r="I11" s="319"/>
      <c r="J11" s="319"/>
      <c r="K11" s="319"/>
    </row>
    <row r="13" spans="2:17" x14ac:dyDescent="0.3">
      <c r="B13" s="104" t="s">
        <v>54</v>
      </c>
      <c r="O13" s="193"/>
      <c r="P13" s="193"/>
    </row>
    <row r="14" spans="2:17" ht="32.4" customHeight="1" x14ac:dyDescent="0.3">
      <c r="B14" s="105" t="s">
        <v>38</v>
      </c>
      <c r="C14" s="319" t="s">
        <v>268</v>
      </c>
      <c r="D14" s="319"/>
      <c r="E14" s="319"/>
      <c r="F14" s="319"/>
      <c r="G14" s="319"/>
      <c r="H14" s="319"/>
      <c r="I14" s="319"/>
      <c r="J14" s="319"/>
      <c r="K14" s="319"/>
      <c r="O14" s="194"/>
      <c r="P14" s="194"/>
      <c r="Q14" s="194"/>
    </row>
    <row r="15" spans="2:17" ht="45" customHeight="1" x14ac:dyDescent="0.3">
      <c r="B15" s="105" t="s">
        <v>39</v>
      </c>
      <c r="C15" s="319" t="s">
        <v>333</v>
      </c>
      <c r="D15" s="319"/>
      <c r="E15" s="319"/>
      <c r="F15" s="319"/>
      <c r="G15" s="319"/>
      <c r="H15" s="319"/>
      <c r="I15" s="319"/>
      <c r="J15" s="319"/>
      <c r="K15" s="319"/>
      <c r="O15" s="194"/>
      <c r="P15" s="194"/>
      <c r="Q15" s="194"/>
    </row>
    <row r="16" spans="2:17" ht="31.2" customHeight="1" x14ac:dyDescent="0.3">
      <c r="B16" s="105" t="s">
        <v>40</v>
      </c>
      <c r="C16" s="319" t="s">
        <v>329</v>
      </c>
      <c r="D16" s="319"/>
      <c r="E16" s="319"/>
      <c r="F16" s="319"/>
      <c r="G16" s="319"/>
      <c r="H16" s="319"/>
      <c r="I16" s="319"/>
      <c r="J16" s="319"/>
      <c r="K16" s="319"/>
      <c r="O16" s="194"/>
      <c r="P16" s="194"/>
      <c r="Q16" s="194"/>
    </row>
    <row r="17" spans="1:17" ht="31.95" customHeight="1" x14ac:dyDescent="0.3">
      <c r="B17" s="105" t="s">
        <v>41</v>
      </c>
      <c r="C17" s="319" t="s">
        <v>365</v>
      </c>
      <c r="D17" s="319"/>
      <c r="E17" s="319"/>
      <c r="F17" s="319"/>
      <c r="G17" s="319"/>
      <c r="H17" s="319"/>
      <c r="I17" s="319"/>
      <c r="J17" s="319"/>
      <c r="K17" s="319"/>
      <c r="O17" s="194"/>
      <c r="P17" s="194"/>
      <c r="Q17" s="194"/>
    </row>
    <row r="18" spans="1:17" ht="20.7" customHeight="1" x14ac:dyDescent="0.3">
      <c r="B18" s="105" t="s">
        <v>42</v>
      </c>
      <c r="C18" s="319" t="s">
        <v>119</v>
      </c>
      <c r="D18" s="319"/>
      <c r="E18" s="319"/>
      <c r="F18" s="319"/>
      <c r="G18" s="319"/>
      <c r="H18" s="319"/>
      <c r="I18" s="319"/>
      <c r="J18" s="319"/>
      <c r="K18" s="319"/>
      <c r="O18" s="194"/>
      <c r="P18" s="194"/>
      <c r="Q18" s="194"/>
    </row>
    <row r="19" spans="1:17" ht="96" customHeight="1" x14ac:dyDescent="0.3">
      <c r="B19" s="105" t="s">
        <v>47</v>
      </c>
      <c r="C19" s="319" t="s">
        <v>321</v>
      </c>
      <c r="D19" s="319"/>
      <c r="E19" s="319"/>
      <c r="F19" s="319"/>
      <c r="G19" s="319"/>
      <c r="H19" s="319"/>
      <c r="I19" s="319"/>
      <c r="J19" s="319"/>
      <c r="K19" s="319"/>
      <c r="L19" s="195"/>
      <c r="O19" s="194"/>
      <c r="P19" s="194"/>
      <c r="Q19" s="194"/>
    </row>
    <row r="20" spans="1:17" ht="19.95" customHeight="1" x14ac:dyDescent="0.3">
      <c r="B20" s="103" t="s">
        <v>90</v>
      </c>
      <c r="C20" s="319" t="s">
        <v>399</v>
      </c>
      <c r="D20" s="319"/>
      <c r="E20" s="319"/>
      <c r="F20" s="319"/>
      <c r="G20" s="319"/>
      <c r="H20" s="319"/>
      <c r="I20" s="319"/>
      <c r="J20" s="319"/>
      <c r="K20" s="319"/>
      <c r="O20" s="194"/>
      <c r="P20" s="194"/>
      <c r="Q20" s="194"/>
    </row>
    <row r="21" spans="1:17" ht="21.6" customHeight="1" x14ac:dyDescent="0.3">
      <c r="B21" s="103" t="s">
        <v>122</v>
      </c>
      <c r="C21" s="319" t="s">
        <v>400</v>
      </c>
      <c r="D21" s="319"/>
      <c r="E21" s="319"/>
      <c r="F21" s="319"/>
      <c r="G21" s="319"/>
      <c r="H21" s="319"/>
      <c r="I21" s="319"/>
      <c r="J21" s="319"/>
      <c r="K21" s="319"/>
      <c r="O21" s="194"/>
      <c r="P21" s="194"/>
      <c r="Q21" s="194"/>
    </row>
    <row r="22" spans="1:17" ht="50.25" customHeight="1" x14ac:dyDescent="0.3">
      <c r="B22" s="105" t="s">
        <v>148</v>
      </c>
      <c r="C22" s="319" t="s">
        <v>359</v>
      </c>
      <c r="D22" s="319"/>
      <c r="E22" s="319"/>
      <c r="F22" s="319"/>
      <c r="G22" s="319"/>
      <c r="H22" s="319"/>
      <c r="I22" s="319"/>
      <c r="J22" s="319"/>
      <c r="K22" s="319"/>
      <c r="O22" s="194"/>
      <c r="P22" s="194"/>
      <c r="Q22" s="194"/>
    </row>
    <row r="23" spans="1:17" ht="21.45" customHeight="1" x14ac:dyDescent="0.3">
      <c r="B23" s="105" t="s">
        <v>241</v>
      </c>
      <c r="C23" s="319" t="s">
        <v>366</v>
      </c>
      <c r="D23" s="319"/>
      <c r="E23" s="319"/>
      <c r="F23" s="319"/>
      <c r="G23" s="319"/>
      <c r="H23" s="319"/>
      <c r="I23" s="319"/>
      <c r="J23" s="319"/>
      <c r="K23" s="319"/>
      <c r="L23" s="195"/>
      <c r="O23" s="194"/>
      <c r="P23" s="194"/>
      <c r="Q23" s="194"/>
    </row>
    <row r="24" spans="1:17" ht="18.75" customHeight="1" x14ac:dyDescent="0.3">
      <c r="B24" s="322" t="s">
        <v>242</v>
      </c>
      <c r="C24" s="319" t="s">
        <v>100</v>
      </c>
      <c r="D24" s="319"/>
      <c r="E24" s="319"/>
      <c r="F24" s="319"/>
      <c r="G24" s="319"/>
      <c r="H24" s="319"/>
      <c r="I24" s="319"/>
      <c r="J24" s="319"/>
      <c r="K24" s="319"/>
      <c r="O24" s="194"/>
      <c r="P24" s="194"/>
      <c r="Q24" s="194"/>
    </row>
    <row r="25" spans="1:17" x14ac:dyDescent="0.3">
      <c r="B25" s="322"/>
      <c r="C25" s="319"/>
      <c r="D25" s="319"/>
      <c r="E25" s="319"/>
      <c r="F25" s="319"/>
      <c r="G25" s="319"/>
      <c r="H25" s="319"/>
      <c r="I25" s="319"/>
      <c r="J25" s="319"/>
      <c r="K25" s="319"/>
      <c r="O25" s="194"/>
      <c r="P25" s="194"/>
      <c r="Q25" s="194"/>
    </row>
    <row r="26" spans="1:17" x14ac:dyDescent="0.3">
      <c r="B26" s="322"/>
      <c r="C26" s="319"/>
      <c r="D26" s="319"/>
      <c r="E26" s="319"/>
      <c r="F26" s="319"/>
      <c r="G26" s="319"/>
      <c r="H26" s="319"/>
      <c r="I26" s="319"/>
      <c r="J26" s="319"/>
      <c r="K26" s="319"/>
      <c r="O26" s="194"/>
      <c r="P26" s="194"/>
      <c r="Q26" s="194"/>
    </row>
    <row r="27" spans="1:17" x14ac:dyDescent="0.3">
      <c r="B27" s="105" t="s">
        <v>243</v>
      </c>
      <c r="C27" s="59" t="s">
        <v>266</v>
      </c>
      <c r="D27" s="59"/>
      <c r="E27" s="59"/>
      <c r="F27" s="59"/>
      <c r="G27" s="59"/>
      <c r="H27" s="59"/>
      <c r="I27" s="59"/>
      <c r="J27" s="59"/>
      <c r="O27" s="194"/>
      <c r="P27" s="194"/>
      <c r="Q27" s="194"/>
    </row>
    <row r="28" spans="1:17" x14ac:dyDescent="0.3">
      <c r="B28" s="105"/>
      <c r="C28" s="59"/>
      <c r="D28" s="59"/>
      <c r="E28" s="59"/>
      <c r="F28" s="59"/>
      <c r="G28" s="59"/>
      <c r="H28" s="59"/>
      <c r="I28" s="59"/>
      <c r="J28" s="59"/>
      <c r="O28" s="194"/>
      <c r="P28" s="194"/>
      <c r="Q28" s="194"/>
    </row>
    <row r="29" spans="1:17" ht="17.399999999999999" x14ac:dyDescent="0.3">
      <c r="C29" s="320" t="s">
        <v>488</v>
      </c>
      <c r="D29" s="320"/>
      <c r="E29" s="320"/>
      <c r="F29" s="320"/>
      <c r="G29" s="320"/>
      <c r="H29" s="320"/>
      <c r="I29" s="320"/>
      <c r="J29" s="320"/>
      <c r="K29" s="222"/>
      <c r="O29" s="194"/>
      <c r="P29" s="194"/>
      <c r="Q29" s="194"/>
    </row>
    <row r="30" spans="1:17" s="14" customFormat="1" ht="17.399999999999999" x14ac:dyDescent="0.3">
      <c r="B30" s="62"/>
      <c r="C30" s="223" t="s">
        <v>404</v>
      </c>
      <c r="D30" s="223" t="s">
        <v>280</v>
      </c>
      <c r="E30" s="223"/>
      <c r="F30" s="224"/>
      <c r="G30" s="224"/>
      <c r="H30" s="224"/>
      <c r="I30" s="224"/>
      <c r="J30" s="224"/>
      <c r="K30" s="225"/>
      <c r="O30" s="226"/>
      <c r="P30" s="226"/>
      <c r="Q30" s="226"/>
    </row>
    <row r="31" spans="1:17" ht="15" customHeight="1" x14ac:dyDescent="0.3">
      <c r="A31" s="196"/>
      <c r="C31" s="30" t="s">
        <v>37</v>
      </c>
      <c r="D31" s="40" t="s">
        <v>306</v>
      </c>
      <c r="E31" s="40"/>
      <c r="F31" s="40"/>
      <c r="G31" s="40"/>
      <c r="H31" s="40"/>
      <c r="I31" s="40"/>
      <c r="J31" s="40"/>
      <c r="O31" s="194"/>
      <c r="P31" s="194"/>
      <c r="Q31" s="194"/>
    </row>
    <row r="32" spans="1:17" ht="15" customHeight="1" x14ac:dyDescent="0.3">
      <c r="C32" s="72" t="s">
        <v>152</v>
      </c>
      <c r="D32" s="197" t="s">
        <v>367</v>
      </c>
      <c r="E32" s="197"/>
      <c r="F32" s="197"/>
      <c r="G32" s="197"/>
      <c r="H32" s="197"/>
      <c r="I32" s="197"/>
      <c r="J32" s="197"/>
      <c r="O32" s="194"/>
      <c r="P32" s="194"/>
      <c r="Q32" s="194"/>
    </row>
    <row r="33" spans="3:17" ht="15" customHeight="1" x14ac:dyDescent="0.3">
      <c r="C33" s="72" t="s">
        <v>162</v>
      </c>
      <c r="D33" s="197" t="s">
        <v>120</v>
      </c>
      <c r="E33" s="197"/>
      <c r="F33" s="197"/>
      <c r="G33" s="197"/>
      <c r="H33" s="197"/>
      <c r="I33" s="197"/>
      <c r="J33" s="197"/>
      <c r="N33" s="194"/>
      <c r="O33" s="194"/>
      <c r="P33" s="194"/>
      <c r="Q33" s="194"/>
    </row>
    <row r="34" spans="3:17" ht="15" customHeight="1" x14ac:dyDescent="0.3">
      <c r="C34" s="72" t="s">
        <v>151</v>
      </c>
      <c r="D34" s="197" t="s">
        <v>305</v>
      </c>
      <c r="E34" s="197"/>
      <c r="F34" s="197"/>
      <c r="G34" s="197"/>
      <c r="H34" s="197"/>
      <c r="I34" s="197"/>
      <c r="J34" s="197"/>
    </row>
    <row r="35" spans="3:17" ht="15" customHeight="1" x14ac:dyDescent="0.3">
      <c r="C35" s="72" t="s">
        <v>211</v>
      </c>
      <c r="D35" s="197" t="s">
        <v>349</v>
      </c>
      <c r="E35" s="197"/>
      <c r="F35" s="197"/>
      <c r="G35" s="197"/>
      <c r="H35" s="197"/>
      <c r="I35" s="197"/>
      <c r="J35" s="197"/>
    </row>
    <row r="36" spans="3:17" ht="15" customHeight="1" x14ac:dyDescent="0.3">
      <c r="C36" s="72" t="s">
        <v>153</v>
      </c>
      <c r="D36" s="197" t="s">
        <v>267</v>
      </c>
      <c r="E36" s="197"/>
      <c r="F36" s="197"/>
      <c r="G36" s="197"/>
      <c r="H36" s="197"/>
      <c r="I36" s="197"/>
      <c r="J36" s="197"/>
    </row>
    <row r="37" spans="3:17" ht="15" customHeight="1" x14ac:dyDescent="0.3">
      <c r="C37" s="72" t="s">
        <v>154</v>
      </c>
      <c r="D37" s="197" t="s">
        <v>368</v>
      </c>
      <c r="E37" s="198"/>
      <c r="F37" s="198"/>
      <c r="G37" s="198"/>
      <c r="H37" s="198"/>
      <c r="I37" s="198"/>
      <c r="J37" s="198"/>
    </row>
    <row r="38" spans="3:17" ht="18.75" customHeight="1" x14ac:dyDescent="0.3">
      <c r="C38" s="31" t="s">
        <v>4</v>
      </c>
      <c r="D38" s="318" t="s">
        <v>369</v>
      </c>
      <c r="E38" s="318"/>
      <c r="F38" s="318"/>
      <c r="G38" s="318"/>
      <c r="H38" s="318"/>
      <c r="I38" s="318"/>
      <c r="J38" s="318"/>
    </row>
    <row r="39" spans="3:17" ht="10.199999999999999" customHeight="1" x14ac:dyDescent="0.3">
      <c r="C39" s="59"/>
      <c r="D39" s="59"/>
      <c r="E39" s="59"/>
      <c r="F39" s="59"/>
      <c r="G39" s="59"/>
      <c r="H39" s="59"/>
      <c r="I39" s="59"/>
      <c r="J39" s="59"/>
      <c r="O39" s="194"/>
      <c r="P39" s="194"/>
      <c r="Q39" s="194"/>
    </row>
    <row r="40" spans="3:17" x14ac:dyDescent="0.3">
      <c r="C40" s="106"/>
      <c r="D40" s="106"/>
      <c r="E40" s="106"/>
      <c r="F40" s="106"/>
      <c r="G40" s="106"/>
      <c r="H40" s="106"/>
      <c r="I40" s="106"/>
      <c r="J40" s="106"/>
      <c r="K40" s="106"/>
    </row>
  </sheetData>
  <mergeCells count="18">
    <mergeCell ref="C8:K8"/>
    <mergeCell ref="C24:K26"/>
    <mergeCell ref="C19:K19"/>
    <mergeCell ref="B2:K2"/>
    <mergeCell ref="B24:B26"/>
    <mergeCell ref="C6:K6"/>
    <mergeCell ref="D38:J38"/>
    <mergeCell ref="C9:K11"/>
    <mergeCell ref="C14:K14"/>
    <mergeCell ref="C18:K18"/>
    <mergeCell ref="C22:K22"/>
    <mergeCell ref="C23:K23"/>
    <mergeCell ref="C20:K20"/>
    <mergeCell ref="C21:K21"/>
    <mergeCell ref="C16:K16"/>
    <mergeCell ref="C15:K15"/>
    <mergeCell ref="C17:K17"/>
    <mergeCell ref="C29:J29"/>
  </mergeCells>
  <phoneticPr fontId="18" type="noConversion"/>
  <pageMargins left="0.7" right="0.7" top="0.75" bottom="0.75" header="0.3" footer="0.3"/>
  <pageSetup scale="72" orientation="portrait" r:id="rId1"/>
  <ignoredErrors>
    <ignoredError sqref="B6:B9 B12:B18 B19 B27 B20:B26" numberStoredAsText="1"/>
  </ignoredError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J29"/>
  <sheetViews>
    <sheetView workbookViewId="0">
      <selection activeCell="B2" sqref="B2:H2"/>
    </sheetView>
  </sheetViews>
  <sheetFormatPr defaultColWidth="23.109375" defaultRowHeight="15.6" x14ac:dyDescent="0.3"/>
  <cols>
    <col min="1" max="1" width="9.109375" style="25" customWidth="1"/>
    <col min="2" max="2" width="31.33203125" style="11" customWidth="1"/>
    <col min="3" max="3" width="16.44140625" style="11" customWidth="1"/>
    <col min="4" max="4" width="14.44140625" style="11" customWidth="1"/>
    <col min="5" max="5" width="15.77734375" style="11" customWidth="1"/>
    <col min="6" max="6" width="12.44140625" style="11" customWidth="1"/>
    <col min="7" max="7" width="14.44140625" style="11" customWidth="1"/>
    <col min="8" max="8" width="16.6640625" style="11" customWidth="1"/>
    <col min="9" max="9" width="4.44140625" style="14" customWidth="1"/>
    <col min="10" max="248" width="9.109375" style="25" customWidth="1"/>
    <col min="249" max="249" width="25" style="25" customWidth="1"/>
    <col min="250" max="16384" width="23.109375" style="25"/>
  </cols>
  <sheetData>
    <row r="2" spans="2:10" ht="22.2" customHeight="1" x14ac:dyDescent="0.3">
      <c r="B2" s="326" t="s">
        <v>478</v>
      </c>
      <c r="C2" s="326"/>
      <c r="D2" s="326"/>
      <c r="E2" s="326"/>
      <c r="F2" s="326"/>
      <c r="G2" s="326"/>
      <c r="H2" s="326"/>
    </row>
    <row r="3" spans="2:10" s="68" customFormat="1" ht="52.95" customHeight="1" x14ac:dyDescent="0.3">
      <c r="B3" s="292" t="s">
        <v>479</v>
      </c>
      <c r="C3" s="293" t="s">
        <v>480</v>
      </c>
      <c r="D3" s="251" t="s">
        <v>204</v>
      </c>
      <c r="E3" s="294" t="s">
        <v>481</v>
      </c>
      <c r="F3" s="251" t="s">
        <v>206</v>
      </c>
      <c r="G3" s="251" t="s">
        <v>205</v>
      </c>
      <c r="H3" s="295" t="s">
        <v>224</v>
      </c>
      <c r="I3" s="62"/>
      <c r="J3" s="296"/>
    </row>
    <row r="4" spans="2:10" x14ac:dyDescent="0.3">
      <c r="B4" s="15" t="s">
        <v>144</v>
      </c>
      <c r="C4" s="297">
        <f>'App2. Mach Etc Req'!F4</f>
        <v>150000</v>
      </c>
      <c r="D4" s="298">
        <v>30</v>
      </c>
      <c r="E4" s="299">
        <v>0</v>
      </c>
      <c r="F4" s="210">
        <f>E4*C4</f>
        <v>0</v>
      </c>
      <c r="G4" s="203">
        <f t="shared" ref="G4:G19" si="0">(C4-F4)/D4</f>
        <v>5000</v>
      </c>
      <c r="H4" s="300">
        <f>G4/'App9. Data for tables'!$H$80</f>
        <v>16.666666666666668</v>
      </c>
    </row>
    <row r="5" spans="2:10" ht="17.399999999999999" x14ac:dyDescent="0.3">
      <c r="B5" s="15" t="s">
        <v>194</v>
      </c>
      <c r="C5" s="210">
        <f>'App2. Mach Etc Req'!F5</f>
        <v>150000</v>
      </c>
      <c r="D5" s="298">
        <v>30</v>
      </c>
      <c r="E5" s="299">
        <v>0</v>
      </c>
      <c r="F5" s="210">
        <f t="shared" ref="F5:F19" si="1">E5*C5</f>
        <v>0</v>
      </c>
      <c r="G5" s="203">
        <f t="shared" si="0"/>
        <v>5000</v>
      </c>
      <c r="H5" s="300">
        <f>G5/'App9. Data for tables'!$H$80</f>
        <v>16.666666666666668</v>
      </c>
    </row>
    <row r="6" spans="2:10" x14ac:dyDescent="0.3">
      <c r="B6" s="15" t="s">
        <v>49</v>
      </c>
      <c r="C6" s="210">
        <f>'App2. Mach Etc Req'!F6</f>
        <v>250000</v>
      </c>
      <c r="D6" s="298">
        <v>10</v>
      </c>
      <c r="E6" s="299">
        <v>0.1</v>
      </c>
      <c r="F6" s="210">
        <f t="shared" si="1"/>
        <v>25000</v>
      </c>
      <c r="G6" s="203">
        <f t="shared" si="0"/>
        <v>22500</v>
      </c>
      <c r="H6" s="300">
        <f>G6/'App9. Data for tables'!$H$80</f>
        <v>75</v>
      </c>
    </row>
    <row r="7" spans="2:10" x14ac:dyDescent="0.3">
      <c r="B7" s="15" t="s">
        <v>50</v>
      </c>
      <c r="C7" s="210">
        <f>'App2. Mach Etc Req'!F7</f>
        <v>55000</v>
      </c>
      <c r="D7" s="298">
        <v>10</v>
      </c>
      <c r="E7" s="299">
        <v>0.1</v>
      </c>
      <c r="F7" s="210">
        <f t="shared" si="1"/>
        <v>5500</v>
      </c>
      <c r="G7" s="203">
        <f t="shared" si="0"/>
        <v>4950</v>
      </c>
      <c r="H7" s="300">
        <f>G7/'App9. Data for tables'!$H$80</f>
        <v>16.5</v>
      </c>
    </row>
    <row r="8" spans="2:10" x14ac:dyDescent="0.3">
      <c r="B8" s="15" t="s">
        <v>25</v>
      </c>
      <c r="C8" s="210">
        <f>'App2. Mach Etc Req'!F8</f>
        <v>24000</v>
      </c>
      <c r="D8" s="298">
        <v>5</v>
      </c>
      <c r="E8" s="299">
        <v>0.1</v>
      </c>
      <c r="F8" s="210">
        <f t="shared" si="1"/>
        <v>2400</v>
      </c>
      <c r="G8" s="203">
        <f t="shared" si="0"/>
        <v>4320</v>
      </c>
      <c r="H8" s="300">
        <f>G8/'App9. Data for tables'!$H$80</f>
        <v>14.4</v>
      </c>
    </row>
    <row r="9" spans="2:10" x14ac:dyDescent="0.3">
      <c r="B9" s="15" t="s">
        <v>43</v>
      </c>
      <c r="C9" s="210">
        <f>'App2. Mach Etc Req'!F9</f>
        <v>150000</v>
      </c>
      <c r="D9" s="298">
        <v>10</v>
      </c>
      <c r="E9" s="299">
        <v>0.1</v>
      </c>
      <c r="F9" s="210">
        <f t="shared" si="1"/>
        <v>15000</v>
      </c>
      <c r="G9" s="203">
        <f t="shared" si="0"/>
        <v>13500</v>
      </c>
      <c r="H9" s="300">
        <f>G9/'App9. Data for tables'!$H$80</f>
        <v>45</v>
      </c>
    </row>
    <row r="10" spans="2:10" x14ac:dyDescent="0.3">
      <c r="B10" s="15" t="s">
        <v>44</v>
      </c>
      <c r="C10" s="210">
        <f>'App2. Mach Etc Req'!F10</f>
        <v>7000</v>
      </c>
      <c r="D10" s="298">
        <v>10</v>
      </c>
      <c r="E10" s="299">
        <v>0.1</v>
      </c>
      <c r="F10" s="210">
        <f t="shared" si="1"/>
        <v>700</v>
      </c>
      <c r="G10" s="203">
        <f t="shared" si="0"/>
        <v>630</v>
      </c>
      <c r="H10" s="300">
        <f>G10/'App9. Data for tables'!$H$80</f>
        <v>2.1</v>
      </c>
    </row>
    <row r="11" spans="2:10" x14ac:dyDescent="0.3">
      <c r="B11" s="15" t="s">
        <v>149</v>
      </c>
      <c r="C11" s="210">
        <f>'App2. Mach Etc Req'!F11</f>
        <v>7500</v>
      </c>
      <c r="D11" s="298">
        <v>10</v>
      </c>
      <c r="E11" s="299">
        <v>0.1</v>
      </c>
      <c r="F11" s="210">
        <f t="shared" si="1"/>
        <v>750</v>
      </c>
      <c r="G11" s="203">
        <f t="shared" si="0"/>
        <v>675</v>
      </c>
      <c r="H11" s="300">
        <f>G11/'App9. Data for tables'!$H$80</f>
        <v>2.25</v>
      </c>
    </row>
    <row r="12" spans="2:10" x14ac:dyDescent="0.3">
      <c r="B12" s="15" t="s">
        <v>96</v>
      </c>
      <c r="C12" s="210">
        <f>'App2. Mach Etc Req'!F12</f>
        <v>9000</v>
      </c>
      <c r="D12" s="298">
        <v>10</v>
      </c>
      <c r="E12" s="299">
        <v>0.1</v>
      </c>
      <c r="F12" s="210">
        <f t="shared" si="1"/>
        <v>900</v>
      </c>
      <c r="G12" s="203">
        <f t="shared" si="0"/>
        <v>810</v>
      </c>
      <c r="H12" s="300">
        <f>G12/'App9. Data for tables'!$H$80</f>
        <v>2.7</v>
      </c>
    </row>
    <row r="13" spans="2:10" x14ac:dyDescent="0.3">
      <c r="B13" s="15" t="s">
        <v>45</v>
      </c>
      <c r="C13" s="210">
        <f>'App2. Mach Etc Req'!F13</f>
        <v>60000</v>
      </c>
      <c r="D13" s="298">
        <v>10</v>
      </c>
      <c r="E13" s="299">
        <v>0.1</v>
      </c>
      <c r="F13" s="210">
        <f t="shared" si="1"/>
        <v>6000</v>
      </c>
      <c r="G13" s="203">
        <f t="shared" si="0"/>
        <v>5400</v>
      </c>
      <c r="H13" s="300">
        <f>G13/'App9. Data for tables'!$H$80</f>
        <v>18</v>
      </c>
    </row>
    <row r="14" spans="2:10" x14ac:dyDescent="0.3">
      <c r="B14" s="20" t="s">
        <v>46</v>
      </c>
      <c r="C14" s="210">
        <f>'App2. Mach Etc Req'!F14</f>
        <v>22500</v>
      </c>
      <c r="D14" s="298">
        <v>10</v>
      </c>
      <c r="E14" s="299">
        <v>0.1</v>
      </c>
      <c r="F14" s="210">
        <f t="shared" si="1"/>
        <v>2250</v>
      </c>
      <c r="G14" s="203">
        <f t="shared" si="0"/>
        <v>2025</v>
      </c>
      <c r="H14" s="300">
        <f>G14/'App9. Data for tables'!$H$80</f>
        <v>6.75</v>
      </c>
    </row>
    <row r="15" spans="2:10" x14ac:dyDescent="0.3">
      <c r="B15" s="20" t="s">
        <v>110</v>
      </c>
      <c r="C15" s="210">
        <f>'App2. Mach Etc Req'!F15</f>
        <v>45000</v>
      </c>
      <c r="D15" s="298">
        <v>10</v>
      </c>
      <c r="E15" s="299">
        <v>0.1</v>
      </c>
      <c r="F15" s="210">
        <f t="shared" si="1"/>
        <v>4500</v>
      </c>
      <c r="G15" s="203">
        <f t="shared" si="0"/>
        <v>4050</v>
      </c>
      <c r="H15" s="300">
        <f>G15/'App9. Data for tables'!$H$80</f>
        <v>13.5</v>
      </c>
    </row>
    <row r="16" spans="2:10" x14ac:dyDescent="0.3">
      <c r="B16" s="20" t="s">
        <v>58</v>
      </c>
      <c r="C16" s="210">
        <f>'App2. Mach Etc Req'!F16</f>
        <v>13000</v>
      </c>
      <c r="D16" s="298">
        <v>10</v>
      </c>
      <c r="E16" s="299">
        <v>0.1</v>
      </c>
      <c r="F16" s="210">
        <f t="shared" si="1"/>
        <v>1300</v>
      </c>
      <c r="G16" s="203">
        <f t="shared" si="0"/>
        <v>1170</v>
      </c>
      <c r="H16" s="300">
        <f>G16/'App9. Data for tables'!$H$80</f>
        <v>3.9</v>
      </c>
    </row>
    <row r="17" spans="2:9" x14ac:dyDescent="0.3">
      <c r="B17" s="20" t="s">
        <v>219</v>
      </c>
      <c r="C17" s="210">
        <f>'App2. Mach Etc Req'!F17</f>
        <v>180000</v>
      </c>
      <c r="D17" s="298">
        <v>10</v>
      </c>
      <c r="E17" s="299">
        <v>0.1</v>
      </c>
      <c r="F17" s="210">
        <f t="shared" si="1"/>
        <v>18000</v>
      </c>
      <c r="G17" s="203">
        <f t="shared" si="0"/>
        <v>16200</v>
      </c>
      <c r="H17" s="300">
        <f>G17/'App9. Data for tables'!$H$80</f>
        <v>54</v>
      </c>
    </row>
    <row r="18" spans="2:9" ht="17.399999999999999" x14ac:dyDescent="0.3">
      <c r="B18" s="20" t="s">
        <v>195</v>
      </c>
      <c r="C18" s="210">
        <f>'App2. Mach Etc Req'!F18</f>
        <v>50000</v>
      </c>
      <c r="D18" s="298">
        <v>10</v>
      </c>
      <c r="E18" s="299">
        <v>0.1</v>
      </c>
      <c r="F18" s="210">
        <f t="shared" si="1"/>
        <v>5000</v>
      </c>
      <c r="G18" s="203">
        <f t="shared" si="0"/>
        <v>4500</v>
      </c>
      <c r="H18" s="300">
        <f>G18/'App9. Data for tables'!$H$80</f>
        <v>15</v>
      </c>
    </row>
    <row r="19" spans="2:9" ht="17.399999999999999" x14ac:dyDescent="0.3">
      <c r="B19" s="20" t="s">
        <v>196</v>
      </c>
      <c r="C19" s="301">
        <f>'App2. Mach Etc Req'!F19</f>
        <v>15000</v>
      </c>
      <c r="D19" s="302">
        <v>10</v>
      </c>
      <c r="E19" s="299">
        <v>0.1</v>
      </c>
      <c r="F19" s="301">
        <f t="shared" si="1"/>
        <v>1500</v>
      </c>
      <c r="G19" s="303">
        <f t="shared" si="0"/>
        <v>1350</v>
      </c>
      <c r="H19" s="300">
        <f>G19/'App9. Data for tables'!$H$80</f>
        <v>4.5</v>
      </c>
    </row>
    <row r="20" spans="2:9" x14ac:dyDescent="0.3">
      <c r="B20" s="41" t="s">
        <v>63</v>
      </c>
      <c r="C20" s="304">
        <f>SUM(C4:C19)</f>
        <v>1188000</v>
      </c>
      <c r="D20" s="307" t="s">
        <v>482</v>
      </c>
      <c r="E20" s="308" t="s">
        <v>482</v>
      </c>
      <c r="F20" s="304">
        <f>SUM(F4:F19)</f>
        <v>88800</v>
      </c>
      <c r="G20" s="305">
        <f>SUM(G4:G19)</f>
        <v>92080</v>
      </c>
      <c r="H20" s="306">
        <f>G20/'App9. Data for tables'!$H$80</f>
        <v>306.93333333333334</v>
      </c>
    </row>
    <row r="21" spans="2:9" x14ac:dyDescent="0.3">
      <c r="B21" s="13" t="s">
        <v>133</v>
      </c>
      <c r="C21" s="32"/>
      <c r="D21" s="32"/>
      <c r="E21" s="33"/>
      <c r="F21" s="33"/>
      <c r="G21" s="13"/>
      <c r="H21" s="17"/>
    </row>
    <row r="22" spans="2:9" s="68" customFormat="1" x14ac:dyDescent="0.3">
      <c r="B22" s="43" t="s">
        <v>197</v>
      </c>
      <c r="C22" s="65"/>
      <c r="D22" s="65"/>
      <c r="E22" s="66"/>
      <c r="F22" s="66"/>
      <c r="G22" s="43"/>
      <c r="H22" s="67"/>
      <c r="I22" s="62"/>
    </row>
    <row r="23" spans="2:9" s="68" customFormat="1" ht="28.2" customHeight="1" x14ac:dyDescent="0.3">
      <c r="B23" s="327" t="s">
        <v>198</v>
      </c>
      <c r="C23" s="327"/>
      <c r="D23" s="327"/>
      <c r="E23" s="327"/>
      <c r="F23" s="327"/>
      <c r="G23" s="327"/>
      <c r="H23" s="327"/>
      <c r="I23" s="62"/>
    </row>
    <row r="24" spans="2:9" s="68" customFormat="1" x14ac:dyDescent="0.3">
      <c r="B24" s="43" t="s">
        <v>199</v>
      </c>
      <c r="C24" s="65"/>
      <c r="D24" s="65"/>
      <c r="E24" s="66"/>
      <c r="F24" s="66"/>
      <c r="G24" s="43"/>
      <c r="H24" s="67"/>
      <c r="I24" s="62"/>
    </row>
    <row r="25" spans="2:9" s="68" customFormat="1" x14ac:dyDescent="0.3">
      <c r="B25" s="43" t="s">
        <v>200</v>
      </c>
      <c r="C25" s="65"/>
      <c r="D25" s="65"/>
      <c r="E25" s="66"/>
      <c r="F25" s="66"/>
      <c r="G25" s="43"/>
      <c r="H25" s="67"/>
      <c r="I25" s="62"/>
    </row>
    <row r="26" spans="2:9" s="68" customFormat="1" x14ac:dyDescent="0.3">
      <c r="B26" s="67" t="s">
        <v>201</v>
      </c>
      <c r="C26" s="65"/>
      <c r="D26" s="65"/>
      <c r="E26" s="66"/>
      <c r="F26" s="66"/>
      <c r="G26" s="43"/>
      <c r="H26" s="67"/>
      <c r="I26" s="62"/>
    </row>
    <row r="27" spans="2:9" s="68" customFormat="1" ht="32.700000000000003" customHeight="1" x14ac:dyDescent="0.3">
      <c r="B27" s="327" t="s">
        <v>202</v>
      </c>
      <c r="C27" s="327"/>
      <c r="D27" s="327"/>
      <c r="E27" s="327"/>
      <c r="F27" s="327"/>
      <c r="G27" s="327"/>
      <c r="H27" s="327"/>
      <c r="I27" s="62"/>
    </row>
    <row r="28" spans="2:9" s="68" customFormat="1" x14ac:dyDescent="0.3">
      <c r="B28" s="43" t="s">
        <v>203</v>
      </c>
      <c r="C28" s="65"/>
      <c r="D28" s="65"/>
      <c r="E28" s="66"/>
      <c r="F28" s="66"/>
      <c r="G28" s="43"/>
      <c r="H28" s="67"/>
      <c r="I28" s="62"/>
    </row>
    <row r="29" spans="2:9" s="68" customFormat="1" x14ac:dyDescent="0.3">
      <c r="B29" s="67" t="s">
        <v>225</v>
      </c>
      <c r="C29" s="69"/>
      <c r="D29" s="69"/>
      <c r="E29" s="69"/>
      <c r="F29" s="69"/>
      <c r="G29" s="69"/>
      <c r="H29" s="69"/>
      <c r="I29" s="70"/>
    </row>
  </sheetData>
  <protectedRanges>
    <protectedRange sqref="D4:E19" name="Range"/>
  </protectedRanges>
  <mergeCells count="3">
    <mergeCell ref="B2:H2"/>
    <mergeCell ref="B27:H27"/>
    <mergeCell ref="B23:H23"/>
  </mergeCells>
  <pageMargins left="0.7" right="0.7" top="0.75" bottom="0.75" header="0.3" footer="0.3"/>
  <pageSetup orientation="portrait" r:id="rId1"/>
  <ignoredErrors>
    <ignoredError sqref="F9:F20 C4:C8 F4:F8 C9:C20"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D9"/>
  <sheetViews>
    <sheetView workbookViewId="0">
      <selection activeCell="B2" sqref="B2:C2"/>
    </sheetView>
  </sheetViews>
  <sheetFormatPr defaultColWidth="9.109375" defaultRowHeight="13.8" x14ac:dyDescent="0.25"/>
  <cols>
    <col min="1" max="1" width="6.6640625" style="2" customWidth="1"/>
    <col min="2" max="2" width="30.44140625" style="2" bestFit="1" customWidth="1"/>
    <col min="3" max="3" width="14" style="2" customWidth="1"/>
    <col min="4" max="16384" width="9.109375" style="2"/>
  </cols>
  <sheetData>
    <row r="2" spans="2:4" ht="36" customHeight="1" x14ac:dyDescent="0.3">
      <c r="B2" s="336" t="s">
        <v>483</v>
      </c>
      <c r="C2" s="336"/>
    </row>
    <row r="3" spans="2:4" s="7" customFormat="1" ht="21" customHeight="1" x14ac:dyDescent="0.25">
      <c r="B3" s="309" t="s">
        <v>484</v>
      </c>
      <c r="C3" s="310" t="s">
        <v>485</v>
      </c>
    </row>
    <row r="4" spans="2:4" x14ac:dyDescent="0.25">
      <c r="B4" s="2" t="s">
        <v>34</v>
      </c>
      <c r="C4" s="18">
        <f>'Honeycrisp-Spindle Budget'!H59</f>
        <v>80732.520360884344</v>
      </c>
    </row>
    <row r="5" spans="2:4" ht="16.8" x14ac:dyDescent="0.25">
      <c r="B5" s="7" t="s">
        <v>192</v>
      </c>
      <c r="C5" s="24">
        <f>20-5</f>
        <v>15</v>
      </c>
      <c r="D5" s="9"/>
    </row>
    <row r="6" spans="2:4" x14ac:dyDescent="0.25">
      <c r="B6" s="2" t="s">
        <v>29</v>
      </c>
      <c r="C6" s="54">
        <f>'App9. Data for tables'!$H$74</f>
        <v>0.05</v>
      </c>
    </row>
    <row r="7" spans="2:4" x14ac:dyDescent="0.25">
      <c r="C7" s="10"/>
    </row>
    <row r="8" spans="2:4" x14ac:dyDescent="0.25">
      <c r="B8" s="6" t="s">
        <v>35</v>
      </c>
      <c r="C8" s="19">
        <f>IF(C5=0," ",PMT(C6,C5,C4))</f>
        <v>-7777.9556960274967</v>
      </c>
    </row>
    <row r="9" spans="2:4" x14ac:dyDescent="0.25">
      <c r="B9" s="8" t="s">
        <v>193</v>
      </c>
    </row>
  </sheetData>
  <protectedRanges>
    <protectedRange sqref="C5:C6" name="Range1"/>
  </protectedRanges>
  <mergeCells count="1">
    <mergeCell ref="B2:C2"/>
  </mergeCells>
  <phoneticPr fontId="18" type="noConversion"/>
  <pageMargins left="0.7" right="0.7" top="0.75" bottom="0.75" header="0.3" footer="0.3"/>
  <ignoredErrors>
    <ignoredError sqref="C5:C6" unlockedFormula="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86"/>
  <sheetViews>
    <sheetView zoomScaleNormal="100" workbookViewId="0"/>
  </sheetViews>
  <sheetFormatPr defaultColWidth="8.6640625" defaultRowHeight="14.4" x14ac:dyDescent="0.3"/>
  <cols>
    <col min="1" max="1" width="22.6640625" style="114" customWidth="1"/>
    <col min="2" max="2" width="48.88671875" style="114" customWidth="1"/>
    <col min="3" max="3" width="11.6640625" style="135" customWidth="1"/>
    <col min="4" max="4" width="9.6640625" style="135" customWidth="1"/>
    <col min="5" max="6" width="10.33203125" style="135" customWidth="1"/>
    <col min="7" max="7" width="12.109375" style="135" customWidth="1"/>
    <col min="8" max="8" width="16.6640625" style="135" customWidth="1"/>
    <col min="9" max="9" width="66" style="114" customWidth="1"/>
    <col min="10" max="10" width="15.33203125" customWidth="1"/>
    <col min="11" max="11" width="16.44140625" style="114" customWidth="1"/>
    <col min="13" max="16384" width="8.6640625" style="114"/>
  </cols>
  <sheetData>
    <row r="1" spans="1:11" ht="17.399999999999999" x14ac:dyDescent="0.3">
      <c r="A1" s="110" t="s">
        <v>486</v>
      </c>
      <c r="B1" s="110"/>
      <c r="C1" s="111"/>
      <c r="D1" s="111"/>
      <c r="E1" s="111"/>
      <c r="F1" s="111"/>
      <c r="G1" s="111"/>
      <c r="H1" s="111"/>
      <c r="I1" s="112"/>
      <c r="K1" s="113"/>
    </row>
    <row r="2" spans="1:11" ht="27.6" x14ac:dyDescent="0.3">
      <c r="A2" s="130" t="s">
        <v>487</v>
      </c>
      <c r="B2" s="311" t="s">
        <v>280</v>
      </c>
      <c r="C2" s="312" t="s">
        <v>22</v>
      </c>
      <c r="D2" s="312" t="s">
        <v>1</v>
      </c>
      <c r="E2" s="312" t="s">
        <v>2</v>
      </c>
      <c r="F2" s="312" t="s">
        <v>3</v>
      </c>
      <c r="G2" s="312" t="s">
        <v>21</v>
      </c>
      <c r="H2" s="313" t="s">
        <v>142</v>
      </c>
      <c r="I2" s="115" t="s">
        <v>123</v>
      </c>
      <c r="K2" s="116"/>
    </row>
    <row r="3" spans="1:11" x14ac:dyDescent="0.3">
      <c r="A3" s="117" t="s">
        <v>262</v>
      </c>
      <c r="B3" s="118" t="s">
        <v>264</v>
      </c>
      <c r="C3" s="314">
        <v>0</v>
      </c>
      <c r="D3" s="314">
        <v>0</v>
      </c>
      <c r="E3" s="314">
        <v>0</v>
      </c>
      <c r="F3" s="120">
        <v>44</v>
      </c>
      <c r="G3" s="120">
        <f>$F$3</f>
        <v>44</v>
      </c>
      <c r="H3" s="120">
        <f>$F$3</f>
        <v>44</v>
      </c>
      <c r="I3" s="121" t="s">
        <v>357</v>
      </c>
      <c r="K3" s="116"/>
    </row>
    <row r="4" spans="1:11" ht="18" customHeight="1" x14ac:dyDescent="0.3">
      <c r="A4" s="122" t="s">
        <v>262</v>
      </c>
      <c r="B4" s="118" t="s">
        <v>263</v>
      </c>
      <c r="C4" s="314">
        <v>0</v>
      </c>
      <c r="D4" s="314">
        <v>0</v>
      </c>
      <c r="E4" s="314">
        <v>0</v>
      </c>
      <c r="F4" s="120">
        <f>+F3*F64</f>
        <v>440</v>
      </c>
      <c r="G4" s="120">
        <f t="shared" ref="G4:H4" si="0">+G3*G64</f>
        <v>660</v>
      </c>
      <c r="H4" s="120">
        <f t="shared" si="0"/>
        <v>660</v>
      </c>
      <c r="I4" s="123"/>
    </row>
    <row r="5" spans="1:11" ht="18" customHeight="1" x14ac:dyDescent="0.3">
      <c r="A5" s="122" t="s">
        <v>147</v>
      </c>
      <c r="B5" s="124" t="s">
        <v>303</v>
      </c>
      <c r="C5" s="314">
        <v>0</v>
      </c>
      <c r="D5" s="314">
        <v>0</v>
      </c>
      <c r="E5" s="314">
        <v>0</v>
      </c>
      <c r="F5" s="125">
        <v>32220</v>
      </c>
      <c r="G5" s="125">
        <v>42960</v>
      </c>
      <c r="H5" s="125">
        <v>53700</v>
      </c>
      <c r="I5" s="123" t="s">
        <v>316</v>
      </c>
    </row>
    <row r="6" spans="1:11" ht="18" customHeight="1" x14ac:dyDescent="0.3">
      <c r="A6" s="122" t="s">
        <v>147</v>
      </c>
      <c r="B6" s="115" t="s">
        <v>308</v>
      </c>
      <c r="C6" s="314">
        <v>0</v>
      </c>
      <c r="D6" s="314">
        <v>0</v>
      </c>
      <c r="E6" s="314">
        <v>0</v>
      </c>
      <c r="F6" s="125">
        <f t="shared" ref="F6:H6" si="1">F5/2000</f>
        <v>16.11</v>
      </c>
      <c r="G6" s="125">
        <f t="shared" si="1"/>
        <v>21.48</v>
      </c>
      <c r="H6" s="125">
        <f t="shared" si="1"/>
        <v>26.85</v>
      </c>
      <c r="I6" s="123" t="s">
        <v>310</v>
      </c>
      <c r="K6" s="116"/>
    </row>
    <row r="7" spans="1:11" ht="18" customHeight="1" x14ac:dyDescent="0.3">
      <c r="A7" s="126" t="s">
        <v>147</v>
      </c>
      <c r="B7" s="127" t="s">
        <v>304</v>
      </c>
      <c r="C7" s="314">
        <v>0</v>
      </c>
      <c r="D7" s="315">
        <v>0</v>
      </c>
      <c r="E7" s="315">
        <v>0</v>
      </c>
      <c r="F7" s="128">
        <f>ROUND((F$5/F$63),0)</f>
        <v>39</v>
      </c>
      <c r="G7" s="128">
        <f>ROUND((G$5/G$63),0)</f>
        <v>52</v>
      </c>
      <c r="H7" s="128">
        <f>ROUND((H$5/H$63),0)</f>
        <v>65</v>
      </c>
      <c r="I7" s="129" t="s">
        <v>352</v>
      </c>
    </row>
    <row r="8" spans="1:11" ht="27.6" x14ac:dyDescent="0.3">
      <c r="A8" s="130" t="s">
        <v>13</v>
      </c>
      <c r="B8" s="131" t="s">
        <v>311</v>
      </c>
      <c r="C8" s="132">
        <v>20000</v>
      </c>
      <c r="D8" s="316">
        <v>0</v>
      </c>
      <c r="E8" s="316">
        <v>0</v>
      </c>
      <c r="F8" s="316">
        <v>0</v>
      </c>
      <c r="G8" s="316">
        <v>0</v>
      </c>
      <c r="H8" s="316">
        <v>0</v>
      </c>
      <c r="I8" s="133" t="s">
        <v>351</v>
      </c>
    </row>
    <row r="9" spans="1:11" x14ac:dyDescent="0.3">
      <c r="A9" s="134" t="s">
        <v>66</v>
      </c>
      <c r="B9" s="115" t="s">
        <v>124</v>
      </c>
      <c r="C9" s="120">
        <v>12</v>
      </c>
      <c r="D9" s="317">
        <v>0</v>
      </c>
      <c r="E9" s="317">
        <v>0</v>
      </c>
      <c r="F9" s="317">
        <v>0</v>
      </c>
      <c r="G9" s="317">
        <v>0</v>
      </c>
      <c r="H9" s="317">
        <v>0</v>
      </c>
      <c r="I9" s="115"/>
    </row>
    <row r="10" spans="1:11" x14ac:dyDescent="0.3">
      <c r="A10" s="134" t="s">
        <v>66</v>
      </c>
      <c r="B10" s="115" t="s">
        <v>125</v>
      </c>
      <c r="C10" s="120">
        <v>1000</v>
      </c>
      <c r="D10" s="314">
        <v>0</v>
      </c>
      <c r="E10" s="314">
        <v>0</v>
      </c>
      <c r="F10" s="314">
        <v>0</v>
      </c>
      <c r="G10" s="314">
        <v>0</v>
      </c>
      <c r="H10" s="314">
        <v>0</v>
      </c>
      <c r="I10" s="115"/>
    </row>
    <row r="11" spans="1:11" x14ac:dyDescent="0.3">
      <c r="A11" s="134" t="s">
        <v>66</v>
      </c>
      <c r="B11" s="115" t="s">
        <v>212</v>
      </c>
      <c r="C11" s="120">
        <v>180</v>
      </c>
      <c r="D11" s="314">
        <v>0</v>
      </c>
      <c r="E11" s="314">
        <v>0</v>
      </c>
      <c r="F11" s="314">
        <v>0</v>
      </c>
      <c r="G11" s="314">
        <v>0</v>
      </c>
      <c r="H11" s="314">
        <v>0</v>
      </c>
      <c r="I11" s="115"/>
    </row>
    <row r="12" spans="1:11" ht="18.75" customHeight="1" x14ac:dyDescent="0.3">
      <c r="A12" s="134" t="s">
        <v>66</v>
      </c>
      <c r="B12" s="115" t="s">
        <v>213</v>
      </c>
      <c r="C12" s="120">
        <v>300</v>
      </c>
      <c r="D12" s="314">
        <v>0</v>
      </c>
      <c r="E12" s="314">
        <v>0</v>
      </c>
      <c r="F12" s="314">
        <v>0</v>
      </c>
      <c r="G12" s="314">
        <v>0</v>
      </c>
      <c r="H12" s="314">
        <v>0</v>
      </c>
      <c r="I12" s="115" t="s">
        <v>140</v>
      </c>
    </row>
    <row r="13" spans="1:11" ht="18.75" customHeight="1" x14ac:dyDescent="0.3">
      <c r="A13" s="134" t="s">
        <v>66</v>
      </c>
      <c r="B13" s="115" t="s">
        <v>214</v>
      </c>
      <c r="C13" s="136">
        <v>1</v>
      </c>
      <c r="D13" s="314">
        <v>0</v>
      </c>
      <c r="E13" s="314">
        <v>0</v>
      </c>
      <c r="F13" s="314">
        <v>0</v>
      </c>
      <c r="G13" s="314">
        <v>0</v>
      </c>
      <c r="H13" s="314">
        <v>0</v>
      </c>
      <c r="I13" s="115"/>
    </row>
    <row r="14" spans="1:11" ht="18.75" customHeight="1" x14ac:dyDescent="0.3">
      <c r="A14" s="134" t="s">
        <v>66</v>
      </c>
      <c r="B14" s="115" t="s">
        <v>215</v>
      </c>
      <c r="C14" s="120">
        <f>$C$83</f>
        <v>27.79</v>
      </c>
      <c r="D14" s="314">
        <v>0</v>
      </c>
      <c r="E14" s="314">
        <v>0</v>
      </c>
      <c r="F14" s="314">
        <v>0</v>
      </c>
      <c r="G14" s="314">
        <v>0</v>
      </c>
      <c r="H14" s="314">
        <v>0</v>
      </c>
      <c r="I14" s="115"/>
    </row>
    <row r="15" spans="1:11" ht="18.75" customHeight="1" x14ac:dyDescent="0.3">
      <c r="A15" s="137" t="s">
        <v>66</v>
      </c>
      <c r="B15" s="138" t="s">
        <v>247</v>
      </c>
      <c r="C15" s="139">
        <v>1750</v>
      </c>
      <c r="D15" s="315">
        <v>0</v>
      </c>
      <c r="E15" s="315">
        <v>0</v>
      </c>
      <c r="F15" s="315">
        <v>0</v>
      </c>
      <c r="G15" s="315">
        <v>0</v>
      </c>
      <c r="H15" s="315">
        <v>0</v>
      </c>
      <c r="I15" s="138" t="s">
        <v>312</v>
      </c>
    </row>
    <row r="16" spans="1:11" x14ac:dyDescent="0.3">
      <c r="A16" s="134" t="s">
        <v>67</v>
      </c>
      <c r="B16" s="115" t="s">
        <v>79</v>
      </c>
      <c r="C16" s="125">
        <f>$C$79</f>
        <v>1452</v>
      </c>
      <c r="D16" s="314">
        <v>0</v>
      </c>
      <c r="E16" s="314">
        <v>0</v>
      </c>
      <c r="F16" s="314">
        <v>0</v>
      </c>
      <c r="G16" s="314">
        <v>0</v>
      </c>
      <c r="H16" s="314">
        <v>0</v>
      </c>
      <c r="I16" s="115"/>
    </row>
    <row r="17" spans="1:11" x14ac:dyDescent="0.3">
      <c r="A17" s="134" t="s">
        <v>67</v>
      </c>
      <c r="B17" s="115" t="s">
        <v>92</v>
      </c>
      <c r="C17" s="120">
        <v>10.51</v>
      </c>
      <c r="D17" s="314">
        <v>0</v>
      </c>
      <c r="E17" s="314">
        <v>0</v>
      </c>
      <c r="F17" s="314">
        <v>0</v>
      </c>
      <c r="G17" s="314">
        <v>0</v>
      </c>
      <c r="H17" s="314">
        <v>0</v>
      </c>
      <c r="I17" s="115" t="s">
        <v>350</v>
      </c>
    </row>
    <row r="18" spans="1:11" x14ac:dyDescent="0.3">
      <c r="A18" s="134" t="s">
        <v>67</v>
      </c>
      <c r="B18" s="115" t="s">
        <v>101</v>
      </c>
      <c r="C18" s="136">
        <v>0.02</v>
      </c>
      <c r="D18" s="314">
        <v>0</v>
      </c>
      <c r="E18" s="314">
        <v>0</v>
      </c>
      <c r="F18" s="314">
        <v>0</v>
      </c>
      <c r="G18" s="314">
        <v>0</v>
      </c>
      <c r="H18" s="314">
        <v>0</v>
      </c>
      <c r="I18" s="115"/>
    </row>
    <row r="19" spans="1:11" x14ac:dyDescent="0.3">
      <c r="A19" s="126" t="s">
        <v>67</v>
      </c>
      <c r="B19" s="127" t="s">
        <v>91</v>
      </c>
      <c r="C19" s="140">
        <f>$C$81</f>
        <v>23.75</v>
      </c>
      <c r="D19" s="315">
        <v>0</v>
      </c>
      <c r="E19" s="315">
        <v>0</v>
      </c>
      <c r="F19" s="315">
        <v>0</v>
      </c>
      <c r="G19" s="315">
        <v>0</v>
      </c>
      <c r="H19" s="315">
        <v>0</v>
      </c>
      <c r="I19" s="138"/>
    </row>
    <row r="20" spans="1:11" x14ac:dyDescent="0.3">
      <c r="A20" s="141" t="s">
        <v>9</v>
      </c>
      <c r="B20" s="142" t="s">
        <v>103</v>
      </c>
      <c r="C20" s="143">
        <v>8330</v>
      </c>
      <c r="D20" s="316">
        <v>0</v>
      </c>
      <c r="E20" s="316">
        <v>0</v>
      </c>
      <c r="F20" s="316">
        <v>0</v>
      </c>
      <c r="G20" s="316">
        <v>0</v>
      </c>
      <c r="H20" s="316">
        <v>0</v>
      </c>
      <c r="I20" s="144"/>
      <c r="K20" s="116"/>
    </row>
    <row r="21" spans="1:11" x14ac:dyDescent="0.3">
      <c r="A21" s="141" t="s">
        <v>220</v>
      </c>
      <c r="B21" s="115" t="s">
        <v>272</v>
      </c>
      <c r="C21" s="314">
        <v>0</v>
      </c>
      <c r="D21" s="314">
        <v>0</v>
      </c>
      <c r="E21" s="314">
        <v>0</v>
      </c>
      <c r="F21" s="120">
        <v>10000</v>
      </c>
      <c r="G21" s="314">
        <v>0</v>
      </c>
      <c r="H21" s="314">
        <v>0</v>
      </c>
      <c r="I21" s="337"/>
      <c r="K21" s="116"/>
    </row>
    <row r="22" spans="1:11" x14ac:dyDescent="0.3">
      <c r="A22" s="137" t="s">
        <v>220</v>
      </c>
      <c r="B22" s="115" t="s">
        <v>273</v>
      </c>
      <c r="C22" s="314">
        <v>0</v>
      </c>
      <c r="D22" s="315">
        <v>0</v>
      </c>
      <c r="E22" s="315">
        <v>0</v>
      </c>
      <c r="F22" s="139">
        <v>150</v>
      </c>
      <c r="G22" s="139">
        <v>150</v>
      </c>
      <c r="H22" s="139">
        <v>150</v>
      </c>
      <c r="I22" s="338"/>
      <c r="K22" s="116"/>
    </row>
    <row r="23" spans="1:11" x14ac:dyDescent="0.3">
      <c r="A23" s="141" t="s">
        <v>81</v>
      </c>
      <c r="B23" s="147" t="s">
        <v>104</v>
      </c>
      <c r="C23" s="148">
        <v>3800</v>
      </c>
      <c r="D23" s="314">
        <v>0</v>
      </c>
      <c r="E23" s="314">
        <v>0</v>
      </c>
      <c r="F23" s="314">
        <v>0</v>
      </c>
      <c r="G23" s="314">
        <v>0</v>
      </c>
      <c r="H23" s="314">
        <v>0</v>
      </c>
      <c r="I23" s="149" t="s">
        <v>313</v>
      </c>
      <c r="K23" s="149"/>
    </row>
    <row r="24" spans="1:11" x14ac:dyDescent="0.3">
      <c r="A24" s="126" t="s">
        <v>81</v>
      </c>
      <c r="B24" s="127" t="s">
        <v>105</v>
      </c>
      <c r="C24" s="140">
        <v>1000</v>
      </c>
      <c r="D24" s="315">
        <v>0</v>
      </c>
      <c r="E24" s="315">
        <v>0</v>
      </c>
      <c r="F24" s="315">
        <v>0</v>
      </c>
      <c r="G24" s="315">
        <v>0</v>
      </c>
      <c r="H24" s="315">
        <v>0</v>
      </c>
      <c r="I24" s="150"/>
      <c r="K24" s="149"/>
    </row>
    <row r="25" spans="1:11" x14ac:dyDescent="0.3">
      <c r="A25" s="115" t="s">
        <v>6</v>
      </c>
      <c r="B25" s="151" t="s">
        <v>113</v>
      </c>
      <c r="C25" s="120">
        <v>600</v>
      </c>
      <c r="D25" s="314">
        <v>0</v>
      </c>
      <c r="E25" s="314">
        <v>0</v>
      </c>
      <c r="F25" s="314">
        <v>0</v>
      </c>
      <c r="G25" s="314">
        <v>0</v>
      </c>
      <c r="H25" s="314">
        <v>0</v>
      </c>
      <c r="I25" s="149"/>
      <c r="K25" s="116"/>
    </row>
    <row r="26" spans="1:11" x14ac:dyDescent="0.3">
      <c r="A26" s="127" t="s">
        <v>6</v>
      </c>
      <c r="B26" s="152" t="s">
        <v>114</v>
      </c>
      <c r="C26" s="140">
        <v>300</v>
      </c>
      <c r="D26" s="315">
        <v>0</v>
      </c>
      <c r="E26" s="315">
        <v>0</v>
      </c>
      <c r="F26" s="315">
        <v>0</v>
      </c>
      <c r="G26" s="315">
        <v>0</v>
      </c>
      <c r="H26" s="315">
        <v>0</v>
      </c>
      <c r="I26" s="150"/>
      <c r="K26" s="116"/>
    </row>
    <row r="27" spans="1:11" ht="19.95" customHeight="1" x14ac:dyDescent="0.3">
      <c r="A27" s="131" t="s">
        <v>7</v>
      </c>
      <c r="B27" s="142" t="s">
        <v>216</v>
      </c>
      <c r="C27" s="132">
        <v>3000</v>
      </c>
      <c r="D27" s="314">
        <v>0</v>
      </c>
      <c r="E27" s="314">
        <v>0</v>
      </c>
      <c r="F27" s="314">
        <v>0</v>
      </c>
      <c r="G27" s="314">
        <v>0</v>
      </c>
      <c r="H27" s="314">
        <v>0</v>
      </c>
      <c r="I27" s="153" t="s">
        <v>244</v>
      </c>
      <c r="K27" s="149"/>
    </row>
    <row r="28" spans="1:11" ht="18" customHeight="1" x14ac:dyDescent="0.3">
      <c r="A28" s="141" t="s">
        <v>86</v>
      </c>
      <c r="B28" s="151" t="s">
        <v>98</v>
      </c>
      <c r="C28" s="154">
        <v>12</v>
      </c>
      <c r="D28" s="154">
        <v>9</v>
      </c>
      <c r="E28" s="154">
        <v>10</v>
      </c>
      <c r="F28" s="154">
        <v>15</v>
      </c>
      <c r="G28" s="154">
        <v>32</v>
      </c>
      <c r="H28" s="154">
        <v>45</v>
      </c>
      <c r="I28" s="115"/>
      <c r="K28" s="155"/>
    </row>
    <row r="29" spans="1:11" ht="18" customHeight="1" x14ac:dyDescent="0.3">
      <c r="A29" s="134" t="s">
        <v>86</v>
      </c>
      <c r="B29" s="156" t="s">
        <v>91</v>
      </c>
      <c r="C29" s="157">
        <f>C$81</f>
        <v>23.75</v>
      </c>
      <c r="D29" s="157">
        <f t="shared" ref="D29:H33" si="2">D$81</f>
        <v>23.75</v>
      </c>
      <c r="E29" s="157">
        <f t="shared" si="2"/>
        <v>23.75</v>
      </c>
      <c r="F29" s="157">
        <f t="shared" si="2"/>
        <v>23.75</v>
      </c>
      <c r="G29" s="157">
        <f t="shared" si="2"/>
        <v>23.75</v>
      </c>
      <c r="H29" s="157">
        <f t="shared" si="2"/>
        <v>23.75</v>
      </c>
      <c r="I29" s="150"/>
      <c r="K29" s="155"/>
    </row>
    <row r="30" spans="1:11" ht="18" customHeight="1" x14ac:dyDescent="0.3">
      <c r="A30" s="134" t="s">
        <v>86</v>
      </c>
      <c r="B30" s="115" t="s">
        <v>97</v>
      </c>
      <c r="C30" s="119">
        <v>40</v>
      </c>
      <c r="D30" s="119">
        <v>42</v>
      </c>
      <c r="E30" s="119">
        <v>42</v>
      </c>
      <c r="F30" s="119">
        <v>10</v>
      </c>
      <c r="G30" s="119">
        <v>5</v>
      </c>
      <c r="H30" s="119">
        <v>0</v>
      </c>
      <c r="I30" s="115"/>
      <c r="K30" s="155"/>
    </row>
    <row r="31" spans="1:11" ht="18" customHeight="1" x14ac:dyDescent="0.3">
      <c r="A31" s="126" t="s">
        <v>86</v>
      </c>
      <c r="B31" s="127" t="s">
        <v>91</v>
      </c>
      <c r="C31" s="157">
        <f>C$81</f>
        <v>23.75</v>
      </c>
      <c r="D31" s="157">
        <f t="shared" si="2"/>
        <v>23.75</v>
      </c>
      <c r="E31" s="157">
        <f t="shared" si="2"/>
        <v>23.75</v>
      </c>
      <c r="F31" s="157">
        <f t="shared" si="2"/>
        <v>23.75</v>
      </c>
      <c r="G31" s="157">
        <f t="shared" si="2"/>
        <v>23.75</v>
      </c>
      <c r="H31" s="157">
        <f t="shared" si="2"/>
        <v>23.75</v>
      </c>
      <c r="I31" s="150"/>
      <c r="K31" s="155"/>
    </row>
    <row r="32" spans="1:11" ht="18" customHeight="1" x14ac:dyDescent="0.3">
      <c r="A32" s="134" t="s">
        <v>248</v>
      </c>
      <c r="B32" s="115" t="s">
        <v>237</v>
      </c>
      <c r="C32" s="314">
        <v>0</v>
      </c>
      <c r="D32" s="314">
        <v>0</v>
      </c>
      <c r="E32" s="119">
        <v>28</v>
      </c>
      <c r="F32" s="119">
        <v>35</v>
      </c>
      <c r="G32" s="119">
        <v>45</v>
      </c>
      <c r="H32" s="119">
        <v>60</v>
      </c>
      <c r="I32" s="158"/>
    </row>
    <row r="33" spans="1:11" ht="18" customHeight="1" x14ac:dyDescent="0.3">
      <c r="A33" s="134" t="s">
        <v>248</v>
      </c>
      <c r="B33" s="156" t="s">
        <v>91</v>
      </c>
      <c r="C33" s="315">
        <v>0</v>
      </c>
      <c r="D33" s="315">
        <v>0</v>
      </c>
      <c r="E33" s="139">
        <f t="shared" si="2"/>
        <v>23.75</v>
      </c>
      <c r="F33" s="139">
        <f t="shared" si="2"/>
        <v>23.75</v>
      </c>
      <c r="G33" s="139">
        <f t="shared" si="2"/>
        <v>23.75</v>
      </c>
      <c r="H33" s="139">
        <f t="shared" si="2"/>
        <v>23.75</v>
      </c>
      <c r="I33" s="150"/>
      <c r="K33" s="116"/>
    </row>
    <row r="34" spans="1:11" ht="18" customHeight="1" x14ac:dyDescent="0.3">
      <c r="A34" s="134" t="s">
        <v>248</v>
      </c>
      <c r="B34" s="115" t="s">
        <v>221</v>
      </c>
      <c r="C34" s="136">
        <v>0</v>
      </c>
      <c r="D34" s="136">
        <v>0</v>
      </c>
      <c r="E34" s="136">
        <v>2</v>
      </c>
      <c r="F34" s="136">
        <v>2</v>
      </c>
      <c r="G34" s="136">
        <v>2</v>
      </c>
      <c r="H34" s="136">
        <v>2</v>
      </c>
      <c r="I34" s="149"/>
      <c r="J34" s="136"/>
      <c r="K34" s="116"/>
    </row>
    <row r="35" spans="1:11" ht="18" customHeight="1" x14ac:dyDescent="0.3">
      <c r="A35" s="126" t="s">
        <v>248</v>
      </c>
      <c r="B35" s="115" t="s">
        <v>91</v>
      </c>
      <c r="C35" s="139">
        <f>C$83</f>
        <v>27.79</v>
      </c>
      <c r="D35" s="139">
        <f t="shared" ref="D35:H35" si="3">D$83</f>
        <v>27.79</v>
      </c>
      <c r="E35" s="139">
        <f t="shared" si="3"/>
        <v>27.79</v>
      </c>
      <c r="F35" s="139">
        <f t="shared" si="3"/>
        <v>27.79</v>
      </c>
      <c r="G35" s="139">
        <f t="shared" si="3"/>
        <v>27.79</v>
      </c>
      <c r="H35" s="139">
        <f t="shared" si="3"/>
        <v>27.79</v>
      </c>
      <c r="I35" s="150"/>
      <c r="K35" s="116"/>
    </row>
    <row r="36" spans="1:11" ht="29.4" customHeight="1" x14ac:dyDescent="0.3">
      <c r="A36" s="141" t="s">
        <v>238</v>
      </c>
      <c r="B36" s="147" t="s">
        <v>239</v>
      </c>
      <c r="C36" s="120">
        <v>210</v>
      </c>
      <c r="D36" s="120">
        <v>430</v>
      </c>
      <c r="E36" s="120">
        <v>1577</v>
      </c>
      <c r="F36" s="120">
        <v>1737</v>
      </c>
      <c r="G36" s="120">
        <v>1737</v>
      </c>
      <c r="H36" s="120">
        <v>1737</v>
      </c>
      <c r="I36" s="145" t="s">
        <v>354</v>
      </c>
      <c r="K36" s="155"/>
    </row>
    <row r="37" spans="1:11" ht="18" customHeight="1" x14ac:dyDescent="0.3">
      <c r="A37" s="134" t="s">
        <v>238</v>
      </c>
      <c r="B37" s="115" t="s">
        <v>240</v>
      </c>
      <c r="C37" s="136">
        <v>5</v>
      </c>
      <c r="D37" s="136">
        <v>14</v>
      </c>
      <c r="E37" s="136">
        <v>20</v>
      </c>
      <c r="F37" s="136">
        <v>20</v>
      </c>
      <c r="G37" s="136">
        <v>20</v>
      </c>
      <c r="H37" s="136">
        <v>20</v>
      </c>
      <c r="I37" s="123"/>
      <c r="K37" s="155"/>
    </row>
    <row r="38" spans="1:11" ht="18" customHeight="1" x14ac:dyDescent="0.3">
      <c r="A38" s="126" t="s">
        <v>238</v>
      </c>
      <c r="B38" s="127" t="s">
        <v>91</v>
      </c>
      <c r="C38" s="139">
        <f>C$83</f>
        <v>27.79</v>
      </c>
      <c r="D38" s="139">
        <f t="shared" ref="D38:G38" si="4">D$83</f>
        <v>27.79</v>
      </c>
      <c r="E38" s="139">
        <f t="shared" si="4"/>
        <v>27.79</v>
      </c>
      <c r="F38" s="139">
        <f t="shared" si="4"/>
        <v>27.79</v>
      </c>
      <c r="G38" s="139">
        <f t="shared" si="4"/>
        <v>27.79</v>
      </c>
      <c r="H38" s="140">
        <f>H$83</f>
        <v>27.79</v>
      </c>
      <c r="I38" s="146"/>
      <c r="K38" s="155"/>
    </row>
    <row r="39" spans="1:11" ht="18" customHeight="1" x14ac:dyDescent="0.3">
      <c r="A39" s="134" t="s">
        <v>84</v>
      </c>
      <c r="B39" s="115" t="s">
        <v>82</v>
      </c>
      <c r="C39" s="120">
        <v>90</v>
      </c>
      <c r="D39" s="120">
        <v>90</v>
      </c>
      <c r="E39" s="120">
        <v>244</v>
      </c>
      <c r="F39" s="120">
        <v>244</v>
      </c>
      <c r="G39" s="120">
        <v>244</v>
      </c>
      <c r="H39" s="120">
        <v>244</v>
      </c>
      <c r="I39" s="123" t="s">
        <v>355</v>
      </c>
      <c r="K39" s="155"/>
    </row>
    <row r="40" spans="1:11" ht="30.6" customHeight="1" x14ac:dyDescent="0.3">
      <c r="A40" s="134" t="s">
        <v>84</v>
      </c>
      <c r="B40" s="115" t="s">
        <v>223</v>
      </c>
      <c r="C40" s="119"/>
      <c r="D40" s="119"/>
      <c r="E40" s="119">
        <v>2</v>
      </c>
      <c r="F40" s="119">
        <v>2</v>
      </c>
      <c r="G40" s="119">
        <v>2</v>
      </c>
      <c r="H40" s="119">
        <v>2</v>
      </c>
      <c r="I40" s="158" t="s">
        <v>358</v>
      </c>
      <c r="K40" s="155"/>
    </row>
    <row r="41" spans="1:11" ht="18" customHeight="1" x14ac:dyDescent="0.3">
      <c r="A41" s="126" t="s">
        <v>84</v>
      </c>
      <c r="B41" s="127" t="s">
        <v>91</v>
      </c>
      <c r="C41" s="140">
        <f>C$82</f>
        <v>24.75</v>
      </c>
      <c r="D41" s="140">
        <f t="shared" ref="D41:H41" si="5">D$82</f>
        <v>24.75</v>
      </c>
      <c r="E41" s="140">
        <f t="shared" si="5"/>
        <v>24.75</v>
      </c>
      <c r="F41" s="140">
        <f t="shared" si="5"/>
        <v>24.75</v>
      </c>
      <c r="G41" s="140">
        <f t="shared" si="5"/>
        <v>24.75</v>
      </c>
      <c r="H41" s="140">
        <f t="shared" si="5"/>
        <v>24.75</v>
      </c>
      <c r="I41" s="150"/>
      <c r="K41" s="116"/>
    </row>
    <row r="42" spans="1:11" ht="18" customHeight="1" x14ac:dyDescent="0.3">
      <c r="A42" s="134" t="s">
        <v>83</v>
      </c>
      <c r="B42" s="115" t="s">
        <v>135</v>
      </c>
      <c r="C42" s="120">
        <v>170</v>
      </c>
      <c r="D42" s="120">
        <v>170</v>
      </c>
      <c r="E42" s="120">
        <v>170</v>
      </c>
      <c r="F42" s="120">
        <v>170</v>
      </c>
      <c r="G42" s="120">
        <v>170</v>
      </c>
      <c r="H42" s="120">
        <v>170</v>
      </c>
      <c r="I42" s="149"/>
      <c r="K42" s="116"/>
    </row>
    <row r="43" spans="1:11" ht="18" customHeight="1" x14ac:dyDescent="0.3">
      <c r="A43" s="134" t="s">
        <v>83</v>
      </c>
      <c r="B43" s="115" t="s">
        <v>69</v>
      </c>
      <c r="C43" s="120">
        <v>180</v>
      </c>
      <c r="D43" s="120">
        <v>180</v>
      </c>
      <c r="E43" s="120">
        <v>180</v>
      </c>
      <c r="F43" s="120">
        <v>195</v>
      </c>
      <c r="G43" s="120">
        <v>195</v>
      </c>
      <c r="H43" s="120">
        <v>195</v>
      </c>
      <c r="I43" s="149"/>
      <c r="K43" s="116"/>
    </row>
    <row r="44" spans="1:11" ht="18" customHeight="1" x14ac:dyDescent="0.3">
      <c r="A44" s="134" t="s">
        <v>93</v>
      </c>
      <c r="B44" s="115" t="s">
        <v>85</v>
      </c>
      <c r="C44" s="119">
        <v>13</v>
      </c>
      <c r="D44" s="119">
        <v>13</v>
      </c>
      <c r="E44" s="119">
        <v>13</v>
      </c>
      <c r="F44" s="119">
        <v>13</v>
      </c>
      <c r="G44" s="119">
        <v>13</v>
      </c>
      <c r="H44" s="119">
        <v>13</v>
      </c>
      <c r="I44" s="115"/>
    </row>
    <row r="45" spans="1:11" ht="18" customHeight="1" x14ac:dyDescent="0.3">
      <c r="A45" s="126" t="s">
        <v>83</v>
      </c>
      <c r="B45" s="127" t="s">
        <v>91</v>
      </c>
      <c r="C45" s="140">
        <f>C$83</f>
        <v>27.79</v>
      </c>
      <c r="D45" s="140">
        <f t="shared" ref="D45:H45" si="6">D$83</f>
        <v>27.79</v>
      </c>
      <c r="E45" s="140">
        <f t="shared" si="6"/>
        <v>27.79</v>
      </c>
      <c r="F45" s="140">
        <f t="shared" si="6"/>
        <v>27.79</v>
      </c>
      <c r="G45" s="140">
        <f t="shared" si="6"/>
        <v>27.79</v>
      </c>
      <c r="H45" s="140">
        <f t="shared" si="6"/>
        <v>27.79</v>
      </c>
      <c r="I45" s="150"/>
      <c r="K45" s="116"/>
    </row>
    <row r="46" spans="1:11" ht="18" customHeight="1" x14ac:dyDescent="0.3">
      <c r="A46" s="134" t="s">
        <v>94</v>
      </c>
      <c r="B46" s="115" t="s">
        <v>71</v>
      </c>
      <c r="C46" s="314">
        <v>0</v>
      </c>
      <c r="D46" s="314">
        <v>0</v>
      </c>
      <c r="E46" s="120">
        <v>65</v>
      </c>
      <c r="F46" s="120">
        <v>65</v>
      </c>
      <c r="G46" s="120">
        <v>65</v>
      </c>
      <c r="H46" s="120">
        <v>65</v>
      </c>
      <c r="I46" s="149"/>
      <c r="K46" s="116"/>
    </row>
    <row r="47" spans="1:11" ht="18" customHeight="1" x14ac:dyDescent="0.3">
      <c r="A47" s="126" t="s">
        <v>94</v>
      </c>
      <c r="B47" s="127" t="s">
        <v>72</v>
      </c>
      <c r="C47" s="315">
        <v>0</v>
      </c>
      <c r="D47" s="315">
        <v>0</v>
      </c>
      <c r="E47" s="128">
        <v>1</v>
      </c>
      <c r="F47" s="128">
        <v>1</v>
      </c>
      <c r="G47" s="128">
        <v>1</v>
      </c>
      <c r="H47" s="128">
        <v>1</v>
      </c>
      <c r="I47" s="138"/>
    </row>
    <row r="48" spans="1:11" ht="18.600000000000001" customHeight="1" x14ac:dyDescent="0.3">
      <c r="A48" s="134" t="s">
        <v>95</v>
      </c>
      <c r="B48" s="158" t="s">
        <v>356</v>
      </c>
      <c r="C48" s="120">
        <v>4000</v>
      </c>
      <c r="D48" s="314">
        <v>0</v>
      </c>
      <c r="E48" s="314">
        <v>0</v>
      </c>
      <c r="F48" s="314">
        <v>0</v>
      </c>
      <c r="G48" s="314">
        <v>0</v>
      </c>
      <c r="H48" s="314">
        <v>0</v>
      </c>
      <c r="I48" s="115" t="s">
        <v>315</v>
      </c>
    </row>
    <row r="49" spans="1:11" x14ac:dyDescent="0.3">
      <c r="A49" s="134" t="s">
        <v>95</v>
      </c>
      <c r="B49" s="115" t="s">
        <v>99</v>
      </c>
      <c r="C49" s="159">
        <v>0.64</v>
      </c>
      <c r="D49" s="314">
        <v>0</v>
      </c>
      <c r="E49" s="314">
        <v>0</v>
      </c>
      <c r="F49" s="314">
        <v>0</v>
      </c>
      <c r="G49" s="314">
        <v>0</v>
      </c>
      <c r="H49" s="314">
        <v>0</v>
      </c>
      <c r="I49" s="160"/>
    </row>
    <row r="50" spans="1:11" x14ac:dyDescent="0.3">
      <c r="A50" s="134" t="s">
        <v>95</v>
      </c>
      <c r="B50" s="152" t="s">
        <v>91</v>
      </c>
      <c r="C50" s="140">
        <f>C$82</f>
        <v>24.75</v>
      </c>
      <c r="D50" s="315">
        <v>0</v>
      </c>
      <c r="E50" s="315">
        <v>0</v>
      </c>
      <c r="F50" s="315">
        <v>0</v>
      </c>
      <c r="G50" s="315">
        <v>0</v>
      </c>
      <c r="H50" s="315">
        <v>0</v>
      </c>
      <c r="I50" s="161"/>
      <c r="K50" s="116"/>
    </row>
    <row r="51" spans="1:11" ht="27.6" x14ac:dyDescent="0.3">
      <c r="A51" s="134" t="s">
        <v>95</v>
      </c>
      <c r="B51" s="115" t="s">
        <v>87</v>
      </c>
      <c r="C51" s="119">
        <v>0.4</v>
      </c>
      <c r="D51" s="119">
        <v>0.4</v>
      </c>
      <c r="E51" s="119">
        <v>0.4</v>
      </c>
      <c r="F51" s="119">
        <f>E51</f>
        <v>0.4</v>
      </c>
      <c r="G51" s="119">
        <f>F51</f>
        <v>0.4</v>
      </c>
      <c r="H51" s="119">
        <f>G51</f>
        <v>0.4</v>
      </c>
      <c r="I51" s="158" t="s">
        <v>314</v>
      </c>
    </row>
    <row r="52" spans="1:11" x14ac:dyDescent="0.3">
      <c r="A52" s="126" t="s">
        <v>95</v>
      </c>
      <c r="B52" s="127" t="s">
        <v>91</v>
      </c>
      <c r="C52" s="140">
        <f t="shared" ref="C52:D52" si="7">C$82</f>
        <v>24.75</v>
      </c>
      <c r="D52" s="140">
        <f t="shared" si="7"/>
        <v>24.75</v>
      </c>
      <c r="E52" s="140">
        <f>E$82</f>
        <v>24.75</v>
      </c>
      <c r="F52" s="140">
        <f t="shared" ref="F52:H52" si="8">F$82</f>
        <v>24.75</v>
      </c>
      <c r="G52" s="140">
        <f t="shared" si="8"/>
        <v>24.75</v>
      </c>
      <c r="H52" s="140">
        <f t="shared" si="8"/>
        <v>24.75</v>
      </c>
      <c r="I52" s="150"/>
      <c r="K52" s="116"/>
    </row>
    <row r="53" spans="1:11" ht="18.75" customHeight="1" x14ac:dyDescent="0.3">
      <c r="A53" s="134" t="s">
        <v>68</v>
      </c>
      <c r="B53" s="115" t="s">
        <v>126</v>
      </c>
      <c r="C53" s="314">
        <v>0</v>
      </c>
      <c r="D53" s="314">
        <v>0</v>
      </c>
      <c r="E53" s="314">
        <v>0</v>
      </c>
      <c r="F53" s="120">
        <v>20</v>
      </c>
      <c r="G53" s="120">
        <f>F53</f>
        <v>20</v>
      </c>
      <c r="H53" s="120">
        <f>G53</f>
        <v>20</v>
      </c>
      <c r="I53" s="149" t="s">
        <v>228</v>
      </c>
      <c r="K53" s="162"/>
    </row>
    <row r="54" spans="1:11" ht="18.75" customHeight="1" x14ac:dyDescent="0.3">
      <c r="A54" s="134" t="s">
        <v>68</v>
      </c>
      <c r="B54" s="115" t="s">
        <v>127</v>
      </c>
      <c r="C54" s="120">
        <v>30</v>
      </c>
      <c r="D54" s="120">
        <f>C54</f>
        <v>30</v>
      </c>
      <c r="E54" s="120">
        <f t="shared" ref="E54:H54" si="9">D54</f>
        <v>30</v>
      </c>
      <c r="F54" s="120">
        <f t="shared" si="9"/>
        <v>30</v>
      </c>
      <c r="G54" s="120">
        <f t="shared" si="9"/>
        <v>30</v>
      </c>
      <c r="H54" s="120">
        <f t="shared" si="9"/>
        <v>30</v>
      </c>
      <c r="I54" s="149"/>
      <c r="K54" s="162"/>
    </row>
    <row r="55" spans="1:11" ht="18.75" customHeight="1" x14ac:dyDescent="0.3">
      <c r="A55" s="134" t="s">
        <v>68</v>
      </c>
      <c r="B55" s="115" t="s">
        <v>121</v>
      </c>
      <c r="C55" s="120">
        <v>30</v>
      </c>
      <c r="D55" s="120">
        <f>C55</f>
        <v>30</v>
      </c>
      <c r="E55" s="120">
        <f t="shared" ref="E55:H55" si="10">D55</f>
        <v>30</v>
      </c>
      <c r="F55" s="120">
        <f t="shared" si="10"/>
        <v>30</v>
      </c>
      <c r="G55" s="120">
        <f t="shared" si="10"/>
        <v>30</v>
      </c>
      <c r="H55" s="120">
        <f t="shared" si="10"/>
        <v>30</v>
      </c>
      <c r="I55" s="149"/>
      <c r="K55" s="162"/>
    </row>
    <row r="56" spans="1:11" ht="18.75" customHeight="1" x14ac:dyDescent="0.3">
      <c r="A56" s="134" t="s">
        <v>68</v>
      </c>
      <c r="B56" s="115" t="s">
        <v>128</v>
      </c>
      <c r="C56" s="314">
        <v>0</v>
      </c>
      <c r="D56" s="314">
        <v>0</v>
      </c>
      <c r="E56" s="314">
        <v>0</v>
      </c>
      <c r="F56" s="120">
        <v>45</v>
      </c>
      <c r="G56" s="120">
        <f>F56</f>
        <v>45</v>
      </c>
      <c r="H56" s="120">
        <f>G56</f>
        <v>45</v>
      </c>
      <c r="I56" s="149"/>
      <c r="K56" s="162"/>
    </row>
    <row r="57" spans="1:11" ht="18.75" customHeight="1" x14ac:dyDescent="0.3">
      <c r="A57" s="134" t="s">
        <v>68</v>
      </c>
      <c r="B57" s="115" t="s">
        <v>129</v>
      </c>
      <c r="C57" s="120">
        <v>300</v>
      </c>
      <c r="D57" s="120">
        <f>C57</f>
        <v>300</v>
      </c>
      <c r="E57" s="120">
        <f t="shared" ref="E57:H57" si="11">D57</f>
        <v>300</v>
      </c>
      <c r="F57" s="120">
        <f t="shared" si="11"/>
        <v>300</v>
      </c>
      <c r="G57" s="120">
        <f t="shared" si="11"/>
        <v>300</v>
      </c>
      <c r="H57" s="120">
        <f t="shared" si="11"/>
        <v>300</v>
      </c>
      <c r="I57" s="149"/>
      <c r="K57" s="116"/>
    </row>
    <row r="58" spans="1:11" ht="40.5" customHeight="1" x14ac:dyDescent="0.3">
      <c r="A58" s="163" t="s">
        <v>68</v>
      </c>
      <c r="B58" s="164" t="s">
        <v>137</v>
      </c>
      <c r="C58" s="157">
        <v>270</v>
      </c>
      <c r="D58" s="157">
        <f>C58</f>
        <v>270</v>
      </c>
      <c r="E58" s="157">
        <f t="shared" ref="E58:H58" si="12">D58</f>
        <v>270</v>
      </c>
      <c r="F58" s="157">
        <f t="shared" si="12"/>
        <v>270</v>
      </c>
      <c r="G58" s="157">
        <f t="shared" si="12"/>
        <v>270</v>
      </c>
      <c r="H58" s="157">
        <f t="shared" si="12"/>
        <v>270</v>
      </c>
      <c r="I58" s="150"/>
      <c r="K58" s="116"/>
    </row>
    <row r="59" spans="1:11" ht="27.6" x14ac:dyDescent="0.3">
      <c r="A59" s="134" t="s">
        <v>88</v>
      </c>
      <c r="B59" s="115" t="s">
        <v>217</v>
      </c>
      <c r="C59" s="314">
        <v>0</v>
      </c>
      <c r="D59" s="314">
        <v>0</v>
      </c>
      <c r="E59" s="120">
        <v>62</v>
      </c>
      <c r="F59" s="120">
        <v>62</v>
      </c>
      <c r="G59" s="120">
        <v>62</v>
      </c>
      <c r="H59" s="120">
        <v>62</v>
      </c>
      <c r="I59" s="123" t="s">
        <v>309</v>
      </c>
      <c r="K59" s="116"/>
    </row>
    <row r="60" spans="1:11" ht="27.6" x14ac:dyDescent="0.3">
      <c r="A60" s="134" t="s">
        <v>88</v>
      </c>
      <c r="B60" s="158" t="s">
        <v>218</v>
      </c>
      <c r="C60" s="314">
        <v>0</v>
      </c>
      <c r="D60" s="314">
        <v>0</v>
      </c>
      <c r="E60" s="120">
        <v>11</v>
      </c>
      <c r="F60" s="120">
        <v>11</v>
      </c>
      <c r="G60" s="120">
        <v>11</v>
      </c>
      <c r="H60" s="120">
        <v>11</v>
      </c>
      <c r="I60" s="149"/>
      <c r="K60" s="162"/>
    </row>
    <row r="61" spans="1:11" x14ac:dyDescent="0.3">
      <c r="A61" s="126" t="s">
        <v>88</v>
      </c>
      <c r="B61" s="127" t="s">
        <v>73</v>
      </c>
      <c r="C61" s="315">
        <v>0</v>
      </c>
      <c r="D61" s="315">
        <v>0</v>
      </c>
      <c r="E61" s="140">
        <v>11</v>
      </c>
      <c r="F61" s="140">
        <f>$E$61</f>
        <v>11</v>
      </c>
      <c r="G61" s="140">
        <f t="shared" ref="G61:H61" si="13">$E$61</f>
        <v>11</v>
      </c>
      <c r="H61" s="140">
        <f t="shared" si="13"/>
        <v>11</v>
      </c>
      <c r="I61" s="146" t="s">
        <v>132</v>
      </c>
      <c r="K61" s="162"/>
    </row>
    <row r="62" spans="1:11" ht="33.6" customHeight="1" x14ac:dyDescent="0.3">
      <c r="A62" s="134" t="s">
        <v>89</v>
      </c>
      <c r="B62" s="115" t="s">
        <v>116</v>
      </c>
      <c r="C62" s="314">
        <v>0</v>
      </c>
      <c r="D62" s="314">
        <v>0</v>
      </c>
      <c r="E62" s="314">
        <v>0</v>
      </c>
      <c r="F62" s="165">
        <v>0.5</v>
      </c>
      <c r="G62" s="165">
        <v>0.72</v>
      </c>
      <c r="H62" s="165">
        <f>$G$62</f>
        <v>0.72</v>
      </c>
      <c r="I62" s="145" t="s">
        <v>317</v>
      </c>
      <c r="K62" s="162"/>
    </row>
    <row r="63" spans="1:11" ht="18.75" customHeight="1" x14ac:dyDescent="0.3">
      <c r="A63" s="134" t="s">
        <v>89</v>
      </c>
      <c r="B63" s="115" t="s">
        <v>245</v>
      </c>
      <c r="C63" s="314">
        <v>0</v>
      </c>
      <c r="D63" s="314">
        <v>0</v>
      </c>
      <c r="E63" s="314">
        <v>0</v>
      </c>
      <c r="F63" s="119">
        <v>825</v>
      </c>
      <c r="G63" s="119">
        <v>825</v>
      </c>
      <c r="H63" s="119">
        <v>825</v>
      </c>
      <c r="I63" s="123"/>
      <c r="K63" s="162"/>
    </row>
    <row r="64" spans="1:11" ht="18.75" customHeight="1" x14ac:dyDescent="0.3">
      <c r="A64" s="134" t="s">
        <v>89</v>
      </c>
      <c r="B64" s="118" t="s">
        <v>229</v>
      </c>
      <c r="C64" s="314">
        <v>0</v>
      </c>
      <c r="D64" s="314">
        <v>0</v>
      </c>
      <c r="E64" s="314">
        <v>0</v>
      </c>
      <c r="F64" s="119">
        <f>ROUND((F63/40)*F62,0)</f>
        <v>10</v>
      </c>
      <c r="G64" s="119">
        <f t="shared" ref="G64:H64" si="14">ROUND((G63/40)*G62,0)</f>
        <v>15</v>
      </c>
      <c r="H64" s="119">
        <f t="shared" si="14"/>
        <v>15</v>
      </c>
      <c r="I64" s="123"/>
      <c r="K64" s="162"/>
    </row>
    <row r="65" spans="1:11" ht="18.75" customHeight="1" x14ac:dyDescent="0.3">
      <c r="A65" s="134" t="s">
        <v>89</v>
      </c>
      <c r="B65" s="115" t="s">
        <v>146</v>
      </c>
      <c r="C65" s="314">
        <v>0</v>
      </c>
      <c r="D65" s="314">
        <v>0</v>
      </c>
      <c r="E65" s="314">
        <v>0</v>
      </c>
      <c r="F65" s="120">
        <v>119</v>
      </c>
      <c r="G65" s="120">
        <v>119</v>
      </c>
      <c r="H65" s="120">
        <v>119</v>
      </c>
      <c r="I65" s="149"/>
      <c r="K65" s="162"/>
    </row>
    <row r="66" spans="1:11" ht="20.7" customHeight="1" x14ac:dyDescent="0.3">
      <c r="A66" s="134" t="s">
        <v>89</v>
      </c>
      <c r="B66" s="115" t="s">
        <v>246</v>
      </c>
      <c r="C66" s="314">
        <v>0</v>
      </c>
      <c r="D66" s="314">
        <v>0</v>
      </c>
      <c r="E66" s="314">
        <v>0</v>
      </c>
      <c r="F66" s="120">
        <v>8</v>
      </c>
      <c r="G66" s="120">
        <v>8</v>
      </c>
      <c r="H66" s="120">
        <v>8</v>
      </c>
      <c r="I66" s="123"/>
      <c r="K66" s="162"/>
    </row>
    <row r="67" spans="1:11" ht="37.5" customHeight="1" x14ac:dyDescent="0.3">
      <c r="A67" s="137" t="s">
        <v>89</v>
      </c>
      <c r="B67" s="166" t="s">
        <v>145</v>
      </c>
      <c r="C67" s="315">
        <v>0</v>
      </c>
      <c r="D67" s="315">
        <v>0</v>
      </c>
      <c r="E67" s="315">
        <v>0</v>
      </c>
      <c r="F67" s="167">
        <f t="shared" ref="F67:H67" si="15">F65+(F66*F64)</f>
        <v>199</v>
      </c>
      <c r="G67" s="167">
        <f t="shared" si="15"/>
        <v>239</v>
      </c>
      <c r="H67" s="167">
        <f t="shared" si="15"/>
        <v>239</v>
      </c>
      <c r="I67" s="146" t="s">
        <v>230</v>
      </c>
      <c r="K67" s="162"/>
    </row>
    <row r="68" spans="1:11" ht="27.6" x14ac:dyDescent="0.3">
      <c r="A68" s="134" t="s">
        <v>131</v>
      </c>
      <c r="B68" s="115" t="s">
        <v>222</v>
      </c>
      <c r="C68" s="120">
        <v>300</v>
      </c>
      <c r="D68" s="120">
        <f>C68</f>
        <v>300</v>
      </c>
      <c r="E68" s="120">
        <f t="shared" ref="E68:H68" si="16">D68</f>
        <v>300</v>
      </c>
      <c r="F68" s="120">
        <f t="shared" si="16"/>
        <v>300</v>
      </c>
      <c r="G68" s="120">
        <f t="shared" si="16"/>
        <v>300</v>
      </c>
      <c r="H68" s="120">
        <f t="shared" si="16"/>
        <v>300</v>
      </c>
      <c r="I68" s="123" t="s">
        <v>130</v>
      </c>
      <c r="K68" s="116"/>
    </row>
    <row r="69" spans="1:11" ht="18.75" customHeight="1" x14ac:dyDescent="0.3">
      <c r="A69" s="134" t="s">
        <v>131</v>
      </c>
      <c r="B69" s="115" t="s">
        <v>111</v>
      </c>
      <c r="C69" s="120">
        <v>190</v>
      </c>
      <c r="D69" s="120">
        <f t="shared" ref="D69:H72" si="17">C69</f>
        <v>190</v>
      </c>
      <c r="E69" s="120">
        <f t="shared" si="17"/>
        <v>190</v>
      </c>
      <c r="F69" s="120">
        <f t="shared" si="17"/>
        <v>190</v>
      </c>
      <c r="G69" s="120">
        <f t="shared" si="17"/>
        <v>190</v>
      </c>
      <c r="H69" s="120">
        <f t="shared" si="17"/>
        <v>190</v>
      </c>
      <c r="I69" s="149"/>
      <c r="K69" s="116"/>
    </row>
    <row r="70" spans="1:11" ht="18.75" customHeight="1" x14ac:dyDescent="0.3">
      <c r="A70" s="134" t="s">
        <v>131</v>
      </c>
      <c r="B70" s="115" t="s">
        <v>51</v>
      </c>
      <c r="C70" s="120">
        <v>200</v>
      </c>
      <c r="D70" s="120">
        <f t="shared" si="17"/>
        <v>200</v>
      </c>
      <c r="E70" s="120">
        <f t="shared" si="17"/>
        <v>200</v>
      </c>
      <c r="F70" s="120">
        <f t="shared" si="17"/>
        <v>200</v>
      </c>
      <c r="G70" s="120">
        <f t="shared" si="17"/>
        <v>200</v>
      </c>
      <c r="H70" s="120">
        <f t="shared" si="17"/>
        <v>200</v>
      </c>
      <c r="I70" s="149"/>
      <c r="K70" s="116"/>
    </row>
    <row r="71" spans="1:11" ht="23.25" customHeight="1" x14ac:dyDescent="0.3">
      <c r="A71" s="134" t="s">
        <v>131</v>
      </c>
      <c r="B71" s="115" t="s">
        <v>269</v>
      </c>
      <c r="C71" s="120">
        <v>600</v>
      </c>
      <c r="D71" s="120">
        <f t="shared" si="17"/>
        <v>600</v>
      </c>
      <c r="E71" s="120">
        <f t="shared" si="17"/>
        <v>600</v>
      </c>
      <c r="F71" s="120">
        <f t="shared" si="17"/>
        <v>600</v>
      </c>
      <c r="G71" s="120">
        <f t="shared" si="17"/>
        <v>600</v>
      </c>
      <c r="H71" s="120">
        <f t="shared" si="17"/>
        <v>600</v>
      </c>
      <c r="I71" s="123"/>
      <c r="K71" s="116"/>
    </row>
    <row r="72" spans="1:11" ht="18.75" customHeight="1" x14ac:dyDescent="0.3">
      <c r="A72" s="134" t="s">
        <v>131</v>
      </c>
      <c r="B72" s="115" t="s">
        <v>70</v>
      </c>
      <c r="C72" s="120">
        <v>750</v>
      </c>
      <c r="D72" s="120">
        <f t="shared" si="17"/>
        <v>750</v>
      </c>
      <c r="E72" s="120">
        <f t="shared" si="17"/>
        <v>750</v>
      </c>
      <c r="F72" s="120">
        <f t="shared" si="17"/>
        <v>750</v>
      </c>
      <c r="G72" s="120">
        <f t="shared" si="17"/>
        <v>750</v>
      </c>
      <c r="H72" s="120">
        <f t="shared" si="17"/>
        <v>750</v>
      </c>
      <c r="I72" s="149"/>
      <c r="K72" s="162"/>
    </row>
    <row r="73" spans="1:11" ht="18.75" customHeight="1" x14ac:dyDescent="0.3">
      <c r="A73" s="134" t="s">
        <v>131</v>
      </c>
      <c r="B73" s="115" t="s">
        <v>102</v>
      </c>
      <c r="C73" s="168">
        <v>0.05</v>
      </c>
      <c r="D73" s="168">
        <v>0.05</v>
      </c>
      <c r="E73" s="168">
        <v>0.05</v>
      </c>
      <c r="F73" s="168">
        <v>0.05</v>
      </c>
      <c r="G73" s="168">
        <v>0.05</v>
      </c>
      <c r="H73" s="168">
        <v>0.05</v>
      </c>
      <c r="I73" s="169"/>
      <c r="K73" s="170"/>
    </row>
    <row r="74" spans="1:11" ht="18.75" customHeight="1" x14ac:dyDescent="0.3">
      <c r="A74" s="134" t="s">
        <v>131</v>
      </c>
      <c r="B74" s="115" t="s">
        <v>74</v>
      </c>
      <c r="C74" s="168">
        <v>0.05</v>
      </c>
      <c r="D74" s="168">
        <v>0.05</v>
      </c>
      <c r="E74" s="168">
        <v>0.05</v>
      </c>
      <c r="F74" s="168">
        <v>0.05</v>
      </c>
      <c r="G74" s="168">
        <v>0.05</v>
      </c>
      <c r="H74" s="168">
        <v>0.05</v>
      </c>
      <c r="I74" s="169"/>
      <c r="K74" s="170"/>
    </row>
    <row r="75" spans="1:11" ht="18.75" customHeight="1" x14ac:dyDescent="0.3">
      <c r="A75" s="134" t="s">
        <v>131</v>
      </c>
      <c r="B75" s="115" t="s">
        <v>75</v>
      </c>
      <c r="C75" s="168">
        <v>0.05</v>
      </c>
      <c r="D75" s="168">
        <v>0.05</v>
      </c>
      <c r="E75" s="168">
        <v>0.05</v>
      </c>
      <c r="F75" s="168">
        <v>0.05</v>
      </c>
      <c r="G75" s="168">
        <v>0.05</v>
      </c>
      <c r="H75" s="168">
        <v>0</v>
      </c>
      <c r="I75" s="169"/>
      <c r="K75" s="170"/>
    </row>
    <row r="76" spans="1:11" ht="18.75" customHeight="1" x14ac:dyDescent="0.3">
      <c r="A76" s="134" t="s">
        <v>131</v>
      </c>
      <c r="B76" s="115" t="s">
        <v>76</v>
      </c>
      <c r="C76" s="119">
        <v>1</v>
      </c>
      <c r="D76" s="119">
        <v>1</v>
      </c>
      <c r="E76" s="119">
        <v>1</v>
      </c>
      <c r="F76" s="119">
        <v>1</v>
      </c>
      <c r="G76" s="119">
        <v>1</v>
      </c>
      <c r="H76" s="119">
        <v>0.75</v>
      </c>
      <c r="I76" s="115"/>
    </row>
    <row r="77" spans="1:11" ht="18.75" customHeight="1" x14ac:dyDescent="0.3">
      <c r="A77" s="134" t="s">
        <v>131</v>
      </c>
      <c r="B77" s="115" t="s">
        <v>77</v>
      </c>
      <c r="C77" s="119">
        <v>27</v>
      </c>
      <c r="D77" s="119">
        <f>C77</f>
        <v>27</v>
      </c>
      <c r="E77" s="119">
        <f t="shared" ref="E77:H77" si="18">D77</f>
        <v>27</v>
      </c>
      <c r="F77" s="119">
        <f t="shared" si="18"/>
        <v>27</v>
      </c>
      <c r="G77" s="119">
        <f t="shared" si="18"/>
        <v>27</v>
      </c>
      <c r="H77" s="119">
        <f t="shared" si="18"/>
        <v>27</v>
      </c>
      <c r="I77" s="115"/>
    </row>
    <row r="78" spans="1:11" ht="18.75" customHeight="1" x14ac:dyDescent="0.3">
      <c r="A78" s="134" t="s">
        <v>131</v>
      </c>
      <c r="B78" s="115" t="s">
        <v>78</v>
      </c>
      <c r="C78" s="119">
        <v>26</v>
      </c>
      <c r="D78" s="119">
        <f>C78</f>
        <v>26</v>
      </c>
      <c r="E78" s="119">
        <f t="shared" ref="E78:H78" si="19">D78</f>
        <v>26</v>
      </c>
      <c r="F78" s="119">
        <f t="shared" si="19"/>
        <v>26</v>
      </c>
      <c r="G78" s="119">
        <f t="shared" si="19"/>
        <v>26</v>
      </c>
      <c r="H78" s="119">
        <f t="shared" si="19"/>
        <v>26</v>
      </c>
      <c r="I78" s="115"/>
    </row>
    <row r="79" spans="1:11" ht="18.75" customHeight="1" x14ac:dyDescent="0.3">
      <c r="A79" s="134" t="s">
        <v>131</v>
      </c>
      <c r="B79" s="115" t="s">
        <v>109</v>
      </c>
      <c r="C79" s="125">
        <v>1452</v>
      </c>
      <c r="D79" s="125">
        <f>C79</f>
        <v>1452</v>
      </c>
      <c r="E79" s="125">
        <f t="shared" ref="E79:H79" si="20">D79</f>
        <v>1452</v>
      </c>
      <c r="F79" s="125">
        <f t="shared" si="20"/>
        <v>1452</v>
      </c>
      <c r="G79" s="125">
        <f t="shared" si="20"/>
        <v>1452</v>
      </c>
      <c r="H79" s="125">
        <f t="shared" si="20"/>
        <v>1452</v>
      </c>
      <c r="I79" s="115"/>
    </row>
    <row r="80" spans="1:11" ht="18.75" customHeight="1" x14ac:dyDescent="0.3">
      <c r="A80" s="163" t="s">
        <v>131</v>
      </c>
      <c r="B80" s="171" t="s">
        <v>80</v>
      </c>
      <c r="C80" s="172">
        <v>300</v>
      </c>
      <c r="D80" s="172">
        <v>300</v>
      </c>
      <c r="E80" s="172">
        <v>300</v>
      </c>
      <c r="F80" s="172">
        <v>300</v>
      </c>
      <c r="G80" s="172">
        <v>300</v>
      </c>
      <c r="H80" s="172">
        <v>300</v>
      </c>
      <c r="I80" s="138"/>
    </row>
    <row r="81" spans="1:12" ht="18" customHeight="1" x14ac:dyDescent="0.3">
      <c r="A81" s="173" t="s">
        <v>227</v>
      </c>
      <c r="B81" s="147" t="s">
        <v>277</v>
      </c>
      <c r="C81" s="148">
        <f>19.25+4.5</f>
        <v>23.75</v>
      </c>
      <c r="D81" s="148">
        <f>C81</f>
        <v>23.75</v>
      </c>
      <c r="E81" s="148">
        <f t="shared" ref="E81:H81" si="21">D81</f>
        <v>23.75</v>
      </c>
      <c r="F81" s="148">
        <f t="shared" si="21"/>
        <v>23.75</v>
      </c>
      <c r="G81" s="148">
        <f t="shared" si="21"/>
        <v>23.75</v>
      </c>
      <c r="H81" s="148">
        <f t="shared" si="21"/>
        <v>23.75</v>
      </c>
      <c r="I81" s="147" t="s">
        <v>318</v>
      </c>
    </row>
    <row r="82" spans="1:12" ht="18" customHeight="1" x14ac:dyDescent="0.3">
      <c r="A82" s="174" t="s">
        <v>227</v>
      </c>
      <c r="B82" s="115" t="s">
        <v>278</v>
      </c>
      <c r="C82" s="120">
        <f>20.25+4.5</f>
        <v>24.75</v>
      </c>
      <c r="D82" s="120">
        <f>C82</f>
        <v>24.75</v>
      </c>
      <c r="E82" s="120">
        <f t="shared" ref="E82" si="22">D82</f>
        <v>24.75</v>
      </c>
      <c r="F82" s="120">
        <f t="shared" ref="F82" si="23">E82</f>
        <v>24.75</v>
      </c>
      <c r="G82" s="120">
        <f t="shared" ref="G82" si="24">F82</f>
        <v>24.75</v>
      </c>
      <c r="H82" s="120">
        <f t="shared" ref="H82" si="25">G82</f>
        <v>24.75</v>
      </c>
      <c r="I82" s="115" t="s">
        <v>319</v>
      </c>
    </row>
    <row r="83" spans="1:12" ht="27.6" x14ac:dyDescent="0.3">
      <c r="A83" s="175" t="s">
        <v>227</v>
      </c>
      <c r="B83" s="176" t="s">
        <v>279</v>
      </c>
      <c r="C83" s="177">
        <f>20.25+3.04+4.5</f>
        <v>27.79</v>
      </c>
      <c r="D83" s="177">
        <f>C83</f>
        <v>27.79</v>
      </c>
      <c r="E83" s="177">
        <f t="shared" ref="E83:H83" si="26">D83</f>
        <v>27.79</v>
      </c>
      <c r="F83" s="177">
        <f t="shared" si="26"/>
        <v>27.79</v>
      </c>
      <c r="G83" s="177">
        <f t="shared" si="26"/>
        <v>27.79</v>
      </c>
      <c r="H83" s="177">
        <f t="shared" si="26"/>
        <v>27.79</v>
      </c>
      <c r="I83" s="129" t="s">
        <v>320</v>
      </c>
    </row>
    <row r="85" spans="1:12" x14ac:dyDescent="0.3">
      <c r="I85" s="115"/>
    </row>
    <row r="86" spans="1:12" ht="13.8" x14ac:dyDescent="0.3">
      <c r="I86" s="135"/>
      <c r="J86" s="114"/>
      <c r="L86" s="114"/>
    </row>
  </sheetData>
  <mergeCells count="1">
    <mergeCell ref="I21:I22"/>
  </mergeCells>
  <phoneticPr fontId="32" type="noConversion"/>
  <pageMargins left="0.7" right="0.7" top="0.75" bottom="0.75" header="0.3" footer="0.3"/>
  <pageSetup orientation="portrait" horizontalDpi="1200" verticalDpi="1200" r:id="rId1"/>
  <ignoredErrors>
    <ignoredError sqref="E38:H38 F52:H52" formula="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74"/>
  <sheetViews>
    <sheetView zoomScaleNormal="100" workbookViewId="0">
      <selection activeCell="B2" sqref="B2:I2"/>
    </sheetView>
  </sheetViews>
  <sheetFormatPr defaultColWidth="9.109375" defaultRowHeight="13.8" x14ac:dyDescent="0.3"/>
  <cols>
    <col min="1" max="1" width="5.109375" style="73" customWidth="1"/>
    <col min="2" max="2" width="26.77734375" style="73" customWidth="1"/>
    <col min="3" max="3" width="40.88671875" style="61" customWidth="1"/>
    <col min="4" max="4" width="12.6640625" style="61" customWidth="1"/>
    <col min="5" max="5" width="11.44140625" style="61" customWidth="1"/>
    <col min="6" max="6" width="11.6640625" style="61" customWidth="1"/>
    <col min="7" max="7" width="12.6640625" style="61" customWidth="1"/>
    <col min="8" max="8" width="12.44140625" style="61" customWidth="1"/>
    <col min="9" max="9" width="17.5546875" style="61" customWidth="1"/>
    <col min="10" max="10" width="10.6640625" style="61" customWidth="1"/>
    <col min="11" max="16384" width="9.109375" style="61"/>
  </cols>
  <sheetData>
    <row r="2" spans="1:12" s="69" customFormat="1" ht="37.950000000000003" customHeight="1" x14ac:dyDescent="0.3">
      <c r="A2" s="71"/>
      <c r="B2" s="326" t="s">
        <v>490</v>
      </c>
      <c r="C2" s="326"/>
      <c r="D2" s="326"/>
      <c r="E2" s="326"/>
      <c r="F2" s="326"/>
      <c r="G2" s="326"/>
      <c r="H2" s="326"/>
      <c r="I2" s="326"/>
      <c r="J2" s="107"/>
      <c r="K2" s="72"/>
    </row>
    <row r="3" spans="1:12" s="62" customFormat="1" ht="48" customHeight="1" x14ac:dyDescent="0.3">
      <c r="A3" s="228"/>
      <c r="B3" s="227" t="s">
        <v>405</v>
      </c>
      <c r="C3" s="229" t="s">
        <v>406</v>
      </c>
      <c r="D3" s="230" t="s">
        <v>0</v>
      </c>
      <c r="E3" s="230" t="s">
        <v>1</v>
      </c>
      <c r="F3" s="230" t="s">
        <v>2</v>
      </c>
      <c r="G3" s="230" t="s">
        <v>3</v>
      </c>
      <c r="H3" s="230" t="s">
        <v>21</v>
      </c>
      <c r="I3" s="231" t="s">
        <v>407</v>
      </c>
      <c r="J3" s="59"/>
      <c r="K3" s="74"/>
    </row>
    <row r="4" spans="1:12" ht="16.8" x14ac:dyDescent="0.25">
      <c r="B4" s="232" t="s">
        <v>408</v>
      </c>
      <c r="C4" s="15" t="s">
        <v>373</v>
      </c>
      <c r="D4" s="178">
        <v>0</v>
      </c>
      <c r="E4" s="178">
        <v>0</v>
      </c>
      <c r="F4" s="179">
        <v>0</v>
      </c>
      <c r="G4" s="179">
        <f>'App9. Data for tables'!F$7*'App9. Data for tables'!F$62</f>
        <v>19.5</v>
      </c>
      <c r="H4" s="179">
        <f>'App9. Data for tables'!G$7*'App9. Data for tables'!G$62</f>
        <v>37.44</v>
      </c>
      <c r="I4" s="179">
        <f>'App9. Data for tables'!H$7*'App9. Data for tables'!H$62</f>
        <v>46.8</v>
      </c>
      <c r="J4" s="59"/>
      <c r="K4" s="109"/>
    </row>
    <row r="5" spans="1:12" ht="16.8" x14ac:dyDescent="0.25">
      <c r="B5" s="232" t="s">
        <v>409</v>
      </c>
      <c r="C5" s="15" t="s">
        <v>410</v>
      </c>
      <c r="D5" s="201">
        <f t="shared" ref="D5:E5" si="0">$G$5</f>
        <v>440</v>
      </c>
      <c r="E5" s="201">
        <f t="shared" si="0"/>
        <v>440</v>
      </c>
      <c r="F5" s="201">
        <f>$G$5</f>
        <v>440</v>
      </c>
      <c r="G5" s="201">
        <f>'App9. Data for tables'!$F$4</f>
        <v>440</v>
      </c>
      <c r="H5" s="201">
        <f>'App9. Data for tables'!$G$4</f>
        <v>660</v>
      </c>
      <c r="I5" s="201">
        <f>'App9. Data for tables'!$H$4</f>
        <v>660</v>
      </c>
      <c r="J5" s="59"/>
      <c r="K5" s="74"/>
    </row>
    <row r="6" spans="1:12" ht="16.8" x14ac:dyDescent="0.25">
      <c r="B6" s="232" t="s">
        <v>409</v>
      </c>
      <c r="C6" s="15" t="s">
        <v>411</v>
      </c>
      <c r="D6" s="199">
        <f t="shared" ref="D6:E6" si="1">$G$6</f>
        <v>44</v>
      </c>
      <c r="E6" s="199">
        <f t="shared" si="1"/>
        <v>44</v>
      </c>
      <c r="F6" s="199">
        <f>$G$6</f>
        <v>44</v>
      </c>
      <c r="G6" s="199">
        <f>'App9. Data for tables'!F$3</f>
        <v>44</v>
      </c>
      <c r="H6" s="199">
        <f>'App9. Data for tables'!G$3</f>
        <v>44</v>
      </c>
      <c r="I6" s="199">
        <f>'App9. Data for tables'!H$3</f>
        <v>44</v>
      </c>
      <c r="J6" s="59"/>
      <c r="K6" s="74"/>
    </row>
    <row r="7" spans="1:12" x14ac:dyDescent="0.25">
      <c r="B7" s="232" t="s">
        <v>412</v>
      </c>
      <c r="C7" s="233" t="s">
        <v>327</v>
      </c>
      <c r="D7" s="220">
        <f t="shared" ref="D7:I7" si="2">D4*D5</f>
        <v>0</v>
      </c>
      <c r="E7" s="220">
        <f t="shared" si="2"/>
        <v>0</v>
      </c>
      <c r="F7" s="220">
        <f t="shared" si="2"/>
        <v>0</v>
      </c>
      <c r="G7" s="220">
        <f t="shared" si="2"/>
        <v>8580</v>
      </c>
      <c r="H7" s="220">
        <f t="shared" si="2"/>
        <v>24710.399999999998</v>
      </c>
      <c r="I7" s="220">
        <f t="shared" si="2"/>
        <v>30887.999999999996</v>
      </c>
      <c r="J7" s="59"/>
      <c r="K7" s="74"/>
    </row>
    <row r="8" spans="1:12" s="236" customFormat="1" ht="36" customHeight="1" x14ac:dyDescent="0.25">
      <c r="A8" s="234"/>
      <c r="B8" s="232" t="s">
        <v>413</v>
      </c>
      <c r="C8" s="15" t="s">
        <v>33</v>
      </c>
      <c r="D8" s="235">
        <f>SUM('App5. Estab Costs'!$F$5:$F$8)</f>
        <v>1519.79</v>
      </c>
      <c r="E8" s="235">
        <v>0</v>
      </c>
      <c r="F8" s="235">
        <v>0</v>
      </c>
      <c r="G8" s="235">
        <v>0</v>
      </c>
      <c r="H8" s="235">
        <v>0</v>
      </c>
      <c r="I8" s="235">
        <v>0</v>
      </c>
      <c r="J8" s="12"/>
      <c r="L8" s="14"/>
    </row>
    <row r="9" spans="1:12" x14ac:dyDescent="0.25">
      <c r="B9" s="232" t="s">
        <v>413</v>
      </c>
      <c r="C9" s="47" t="s">
        <v>60</v>
      </c>
      <c r="D9" s="199">
        <f>SUM('App5. Estab Costs'!$F$9:$F$10)</f>
        <v>15950.220000000001</v>
      </c>
      <c r="E9" s="199">
        <v>0</v>
      </c>
      <c r="F9" s="199">
        <v>0</v>
      </c>
      <c r="G9" s="199">
        <v>0</v>
      </c>
      <c r="H9" s="199">
        <v>0</v>
      </c>
      <c r="I9" s="199">
        <v>0</v>
      </c>
      <c r="J9" s="59"/>
    </row>
    <row r="10" spans="1:12" ht="16.8" x14ac:dyDescent="0.25">
      <c r="B10" s="232" t="s">
        <v>413</v>
      </c>
      <c r="C10" s="47" t="s">
        <v>374</v>
      </c>
      <c r="D10" s="199">
        <f>'App5. Estab Costs'!$F$16</f>
        <v>1235</v>
      </c>
      <c r="E10" s="199">
        <f>'App5. Estab Costs'!$F$33</f>
        <v>1211.25</v>
      </c>
      <c r="F10" s="199">
        <f>'App5. Estab Costs'!$F$49</f>
        <v>1235</v>
      </c>
      <c r="G10" s="199">
        <f>'App5. Estab Costs'!$F$68</f>
        <v>593.75</v>
      </c>
      <c r="H10" s="199">
        <f>'App5. Estab Costs'!$F$90</f>
        <v>878.75</v>
      </c>
      <c r="I10" s="199">
        <f>'App6. Full Prod Costs'!$E$5</f>
        <v>1068.75</v>
      </c>
      <c r="J10" s="59"/>
    </row>
    <row r="11" spans="1:12" ht="16.8" x14ac:dyDescent="0.25">
      <c r="B11" s="232" t="s">
        <v>413</v>
      </c>
      <c r="C11" s="47" t="s">
        <v>375</v>
      </c>
      <c r="D11" s="199">
        <f>'App5. Estab Costs'!$F$17</f>
        <v>0</v>
      </c>
      <c r="E11" s="199">
        <f>'App5. Estab Costs'!$F$34</f>
        <v>0</v>
      </c>
      <c r="F11" s="199">
        <f>'App5. Estab Costs'!$F$50</f>
        <v>720.58</v>
      </c>
      <c r="G11" s="199">
        <f>'App5. Estab Costs'!$F$69</f>
        <v>886.83</v>
      </c>
      <c r="H11" s="199">
        <f>'App5. Estab Costs'!$F$91</f>
        <v>1124.33</v>
      </c>
      <c r="I11" s="199">
        <f>'App6. Full Prod Costs'!$E$6</f>
        <v>1425</v>
      </c>
      <c r="J11" s="59"/>
    </row>
    <row r="12" spans="1:12" ht="16.8" x14ac:dyDescent="0.25">
      <c r="B12" s="232" t="s">
        <v>413</v>
      </c>
      <c r="C12" s="47" t="s">
        <v>376</v>
      </c>
      <c r="D12" s="199">
        <f>'App5. Estab Costs'!$F$18</f>
        <v>348.95</v>
      </c>
      <c r="E12" s="199">
        <f>'App5. Estab Costs'!$F$35</f>
        <v>819.06</v>
      </c>
      <c r="F12" s="199">
        <f>'App5. Estab Costs'!$F$51</f>
        <v>2132.8000000000002</v>
      </c>
      <c r="G12" s="199">
        <f>'App5. Estab Costs'!$F$70</f>
        <v>2292.8000000000002</v>
      </c>
      <c r="H12" s="199">
        <f>'App5. Estab Costs'!$F$92</f>
        <v>2292.8000000000002</v>
      </c>
      <c r="I12" s="199">
        <f>'App6. Full Prod Costs'!$E$7</f>
        <v>2292.8000000000002</v>
      </c>
      <c r="J12" s="59"/>
    </row>
    <row r="13" spans="1:12" ht="16.8" x14ac:dyDescent="0.25">
      <c r="B13" s="232" t="s">
        <v>413</v>
      </c>
      <c r="C13" s="47" t="s">
        <v>377</v>
      </c>
      <c r="D13" s="199">
        <f>'App5. Estab Costs'!$F$19+'App5. Estab Costs'!$F$20</f>
        <v>90</v>
      </c>
      <c r="E13" s="199">
        <f>'App5. Estab Costs'!$F$36+'App5. Estab Costs'!$F$37</f>
        <v>90</v>
      </c>
      <c r="F13" s="199">
        <f>'App5. Estab Costs'!$F$52+'App5. Estab Costs'!$F$53</f>
        <v>293.5</v>
      </c>
      <c r="G13" s="199">
        <f>'App5. Estab Costs'!$F$71+'App5. Estab Costs'!$F$72</f>
        <v>293.5</v>
      </c>
      <c r="H13" s="199">
        <f>'App5. Estab Costs'!$F$93+'App5. Estab Costs'!$F$94</f>
        <v>293.5</v>
      </c>
      <c r="I13" s="199">
        <f>'App6. Full Prod Costs'!$E$8+'App6. Full Prod Costs'!$E$9</f>
        <v>293.5</v>
      </c>
      <c r="J13" s="59"/>
    </row>
    <row r="14" spans="1:12" x14ac:dyDescent="0.25">
      <c r="A14" s="61"/>
      <c r="B14" s="232" t="s">
        <v>413</v>
      </c>
      <c r="C14" s="47" t="s">
        <v>139</v>
      </c>
      <c r="D14" s="199">
        <f>'App5. Estab Costs'!$F$21+'App5. Estab Costs'!$F$22</f>
        <v>350</v>
      </c>
      <c r="E14" s="199">
        <f>'App5. Estab Costs'!$F$38+'App5. Estab Costs'!$F$39</f>
        <v>350</v>
      </c>
      <c r="F14" s="199">
        <f>'App5. Estab Costs'!$F$54+'App5. Estab Costs'!$F$55</f>
        <v>350</v>
      </c>
      <c r="G14" s="199">
        <f>'App5. Estab Costs'!$F$73+'App5. Estab Costs'!$F$74</f>
        <v>365</v>
      </c>
      <c r="H14" s="199">
        <f>'App5. Estab Costs'!$F$95+'App5. Estab Costs'!$F$96</f>
        <v>365</v>
      </c>
      <c r="I14" s="199">
        <f>'App6. Full Prod Costs'!$E$10+'App6. Full Prod Costs'!$E$11</f>
        <v>365</v>
      </c>
      <c r="J14" s="59"/>
    </row>
    <row r="15" spans="1:12" ht="16.8" x14ac:dyDescent="0.25">
      <c r="A15" s="61"/>
      <c r="B15" s="232" t="s">
        <v>413</v>
      </c>
      <c r="C15" s="47" t="s">
        <v>300</v>
      </c>
      <c r="D15" s="199">
        <f>'App5. Estab Costs'!$F$23</f>
        <v>361.27</v>
      </c>
      <c r="E15" s="199">
        <f>'App5. Estab Costs'!$F$40</f>
        <v>361.27</v>
      </c>
      <c r="F15" s="199">
        <f>'App5. Estab Costs'!$F$56</f>
        <v>361.27</v>
      </c>
      <c r="G15" s="199">
        <f>'App5. Estab Costs'!$F$75</f>
        <v>361.27</v>
      </c>
      <c r="H15" s="199">
        <f>'App5. Estab Costs'!$F$97</f>
        <v>361.27</v>
      </c>
      <c r="I15" s="199">
        <f>'App6. Full Prod Costs'!$E$12</f>
        <v>361.27</v>
      </c>
      <c r="J15" s="59"/>
    </row>
    <row r="16" spans="1:12" ht="16.8" x14ac:dyDescent="0.25">
      <c r="B16" s="232" t="s">
        <v>413</v>
      </c>
      <c r="C16" s="47" t="s">
        <v>378</v>
      </c>
      <c r="D16" s="199">
        <v>0</v>
      </c>
      <c r="E16" s="199">
        <v>0</v>
      </c>
      <c r="F16" s="199">
        <v>0</v>
      </c>
      <c r="G16" s="199">
        <f>'App5. Estab Costs'!$F$67</f>
        <v>150</v>
      </c>
      <c r="H16" s="199">
        <f>'App5. Estab Costs'!$F$89</f>
        <v>150</v>
      </c>
      <c r="I16" s="199">
        <f>'App6. Full Prod Costs'!$E$4</f>
        <v>150</v>
      </c>
      <c r="J16" s="59"/>
    </row>
    <row r="17" spans="1:12" ht="16.8" x14ac:dyDescent="0.25">
      <c r="A17" s="61"/>
      <c r="B17" s="232" t="s">
        <v>413</v>
      </c>
      <c r="C17" s="47" t="s">
        <v>379</v>
      </c>
      <c r="D17" s="199">
        <f>'App5. Estab Costs'!$F$25</f>
        <v>9.9</v>
      </c>
      <c r="E17" s="199">
        <f>'App5. Estab Costs'!$F$41</f>
        <v>9.9</v>
      </c>
      <c r="F17" s="199">
        <f>'App5. Estab Costs'!$F$58</f>
        <v>9.9</v>
      </c>
      <c r="G17" s="199">
        <f>'App5. Estab Costs'!$F$77</f>
        <v>9.9</v>
      </c>
      <c r="H17" s="199">
        <f>'App5. Estab Costs'!$F$99</f>
        <v>9.9</v>
      </c>
      <c r="I17" s="199">
        <f>'App6. Full Prod Costs'!$E$14</f>
        <v>9.9</v>
      </c>
      <c r="J17" s="59"/>
    </row>
    <row r="18" spans="1:12" x14ac:dyDescent="0.25">
      <c r="A18" s="61"/>
      <c r="B18" s="232" t="s">
        <v>413</v>
      </c>
      <c r="C18" s="47" t="s">
        <v>10</v>
      </c>
      <c r="D18" s="199">
        <v>0</v>
      </c>
      <c r="E18" s="199">
        <v>0</v>
      </c>
      <c r="F18" s="199">
        <f>'App5. Estab Costs'!$F$57</f>
        <v>65</v>
      </c>
      <c r="G18" s="199">
        <f>'App5. Estab Costs'!$F$76</f>
        <v>65</v>
      </c>
      <c r="H18" s="199">
        <f>'App5. Estab Costs'!$F$98</f>
        <v>65</v>
      </c>
      <c r="I18" s="199">
        <f>'App6. Full Prod Costs'!$E$13</f>
        <v>65</v>
      </c>
      <c r="J18" s="59"/>
    </row>
    <row r="19" spans="1:12" ht="16.8" x14ac:dyDescent="0.25">
      <c r="A19" s="61"/>
      <c r="B19" s="232" t="s">
        <v>413</v>
      </c>
      <c r="C19" s="47" t="s">
        <v>380</v>
      </c>
      <c r="D19" s="199">
        <f>'App5. Estab Costs'!$F$28</f>
        <v>300</v>
      </c>
      <c r="E19" s="199">
        <f>'App5. Estab Costs'!$F$44</f>
        <v>300</v>
      </c>
      <c r="F19" s="199">
        <f>'App5. Estab Costs'!$F$61</f>
        <v>300</v>
      </c>
      <c r="G19" s="199">
        <f>'App5. Estab Costs'!$F$80</f>
        <v>300</v>
      </c>
      <c r="H19" s="199">
        <f>'App5. Estab Costs'!$F$102</f>
        <v>300</v>
      </c>
      <c r="I19" s="199">
        <f>'App6. Full Prod Costs'!$E$17</f>
        <v>300</v>
      </c>
      <c r="J19" s="59"/>
    </row>
    <row r="20" spans="1:12" x14ac:dyDescent="0.25">
      <c r="A20" s="61"/>
      <c r="B20" s="232" t="s">
        <v>413</v>
      </c>
      <c r="C20" s="47" t="s">
        <v>14</v>
      </c>
      <c r="D20" s="199">
        <v>0</v>
      </c>
      <c r="E20" s="199">
        <v>0</v>
      </c>
      <c r="F20" s="199">
        <v>0</v>
      </c>
      <c r="G20" s="199">
        <f>'App5. Estab Costs'!$F85</f>
        <v>2418</v>
      </c>
      <c r="H20" s="199">
        <f>'App5. Estab Costs'!$F107</f>
        <v>3224</v>
      </c>
      <c r="I20" s="199">
        <f>'App6. Full Prod Costs'!$E22</f>
        <v>4030</v>
      </c>
      <c r="J20" s="59"/>
    </row>
    <row r="21" spans="1:12" x14ac:dyDescent="0.25">
      <c r="A21" s="61"/>
      <c r="B21" s="232" t="s">
        <v>413</v>
      </c>
      <c r="C21" s="47" t="s">
        <v>150</v>
      </c>
      <c r="D21" s="199">
        <v>0</v>
      </c>
      <c r="E21" s="199">
        <v>0</v>
      </c>
      <c r="F21" s="199">
        <v>0</v>
      </c>
      <c r="G21" s="199">
        <f>'App5. Estab Costs'!$F86</f>
        <v>429</v>
      </c>
      <c r="H21" s="199">
        <f>'App5. Estab Costs'!$F108</f>
        <v>572</v>
      </c>
      <c r="I21" s="199">
        <f>'App6. Full Prod Costs'!$E23</f>
        <v>715</v>
      </c>
      <c r="J21" s="59"/>
    </row>
    <row r="22" spans="1:12" x14ac:dyDescent="0.25">
      <c r="A22" s="61"/>
      <c r="B22" s="232" t="s">
        <v>413</v>
      </c>
      <c r="C22" s="47" t="s">
        <v>55</v>
      </c>
      <c r="D22" s="199">
        <v>0</v>
      </c>
      <c r="E22" s="199">
        <v>0</v>
      </c>
      <c r="F22" s="199">
        <v>0</v>
      </c>
      <c r="G22" s="199">
        <f>'App5. Estab Costs'!$F87</f>
        <v>429</v>
      </c>
      <c r="H22" s="199">
        <f>'App5. Estab Costs'!$F109</f>
        <v>572</v>
      </c>
      <c r="I22" s="199">
        <f>'App6. Full Prod Costs'!$E24</f>
        <v>715</v>
      </c>
      <c r="J22" s="59"/>
    </row>
    <row r="23" spans="1:12" ht="18.75" customHeight="1" x14ac:dyDescent="0.25">
      <c r="A23" s="61"/>
      <c r="B23" s="232" t="s">
        <v>413</v>
      </c>
      <c r="C23" s="72" t="s">
        <v>381</v>
      </c>
      <c r="D23" s="199">
        <v>0</v>
      </c>
      <c r="E23" s="199">
        <v>0</v>
      </c>
      <c r="F23" s="199">
        <v>0</v>
      </c>
      <c r="G23" s="199">
        <f>'App5. Estab Costs'!$F88</f>
        <v>7761</v>
      </c>
      <c r="H23" s="199">
        <f>'App5. Estab Costs'!$F110</f>
        <v>12428</v>
      </c>
      <c r="I23" s="199">
        <f>'App6. Full Prod Costs'!$E25</f>
        <v>15535</v>
      </c>
      <c r="J23" s="59"/>
    </row>
    <row r="24" spans="1:12" ht="18.75" customHeight="1" x14ac:dyDescent="0.25">
      <c r="A24" s="61"/>
      <c r="B24" s="232" t="s">
        <v>413</v>
      </c>
      <c r="C24" s="47" t="s">
        <v>134</v>
      </c>
      <c r="D24" s="199">
        <f>'App5. Estab Costs'!$F26</f>
        <v>360</v>
      </c>
      <c r="E24" s="199">
        <f>'App5. Estab Costs'!$F$42</f>
        <v>360</v>
      </c>
      <c r="F24" s="199">
        <f>'App5. Estab Costs'!$F$59</f>
        <v>360</v>
      </c>
      <c r="G24" s="199">
        <f>'App5. Estab Costs'!$F$78</f>
        <v>425</v>
      </c>
      <c r="H24" s="199">
        <f>'App5. Estab Costs'!$F$100</f>
        <v>425</v>
      </c>
      <c r="I24" s="199">
        <f>'App6. Full Prod Costs'!$E$15</f>
        <v>425</v>
      </c>
      <c r="J24" s="59"/>
    </row>
    <row r="25" spans="1:12" ht="18.75" customHeight="1" x14ac:dyDescent="0.25">
      <c r="A25" s="61"/>
      <c r="B25" s="232" t="s">
        <v>413</v>
      </c>
      <c r="C25" s="47" t="s">
        <v>57</v>
      </c>
      <c r="D25" s="199">
        <f>'App5. Estab Costs'!$F27</f>
        <v>270</v>
      </c>
      <c r="E25" s="199">
        <f>'App5. Estab Costs'!$F$43</f>
        <v>270</v>
      </c>
      <c r="F25" s="199">
        <f>'App5. Estab Costs'!$F$60</f>
        <v>270</v>
      </c>
      <c r="G25" s="199">
        <f>'App5. Estab Costs'!$F$79</f>
        <v>270</v>
      </c>
      <c r="H25" s="199">
        <f>'App5. Estab Costs'!$F$101</f>
        <v>270</v>
      </c>
      <c r="I25" s="199">
        <f>'App6. Full Prod Costs'!$E$16</f>
        <v>270</v>
      </c>
      <c r="J25" s="59"/>
    </row>
    <row r="26" spans="1:12" ht="16.8" x14ac:dyDescent="0.25">
      <c r="A26" s="61"/>
      <c r="B26" s="232" t="s">
        <v>413</v>
      </c>
      <c r="C26" s="47" t="s">
        <v>382</v>
      </c>
      <c r="D26" s="199">
        <f>SUM(D8:D25)*'App9. Data for tables'!$C$73</f>
        <v>1039.7565000000002</v>
      </c>
      <c r="E26" s="199">
        <f>SUM(E8:E25)*'App9. Data for tables'!$C$73</f>
        <v>188.57400000000001</v>
      </c>
      <c r="F26" s="199">
        <f>SUM(F8:F25)*'App9. Data for tables'!$C$73</f>
        <v>304.90249999999997</v>
      </c>
      <c r="G26" s="199">
        <f>SUM(G8:G25)*'App9. Data for tables'!$C$73</f>
        <v>852.50250000000005</v>
      </c>
      <c r="H26" s="199">
        <f>SUM(H8:H25)*'App9. Data for tables'!$C$73</f>
        <v>1166.5775000000001</v>
      </c>
      <c r="I26" s="199">
        <f>SUM(I8:I25)*'App9. Data for tables'!$H$73</f>
        <v>1401.0610000000001</v>
      </c>
      <c r="J26" s="59"/>
    </row>
    <row r="27" spans="1:12" ht="16.8" x14ac:dyDescent="0.25">
      <c r="A27" s="61"/>
      <c r="B27" s="232" t="s">
        <v>413</v>
      </c>
      <c r="C27" s="47" t="s">
        <v>383</v>
      </c>
      <c r="D27" s="199">
        <f>SUM(D8:D26)*'App9. Data for tables'!$C$74*'App9. Data for tables'!$C$76</f>
        <v>1091.7443250000003</v>
      </c>
      <c r="E27" s="199">
        <f>SUM(E8:E26)*'App9. Data for tables'!$D$74*'App9. Data for tables'!$D$76</f>
        <v>198.0027</v>
      </c>
      <c r="F27" s="199">
        <f>SUM(F8:F26)*'App9. Data for tables'!$E$74*'App9. Data for tables'!$E$76</f>
        <v>320.14762500000001</v>
      </c>
      <c r="G27" s="199">
        <f>SUM(G8:G26)*'App9. Data for tables'!$F$74*'App9. Data for tables'!$F$76</f>
        <v>895.12762499999997</v>
      </c>
      <c r="H27" s="199">
        <f>SUM(H8:H26)*'App9. Data for tables'!$G$74*'App9. Data for tables'!$G$76</f>
        <v>1224.906375</v>
      </c>
      <c r="I27" s="199">
        <f>SUM(I8:I26)*'App9. Data for tables'!$H$74*'App9. Data for tables'!$H$76</f>
        <v>1103.3355375000001</v>
      </c>
      <c r="J27" s="59"/>
      <c r="L27" s="62"/>
    </row>
    <row r="28" spans="1:12" s="239" customFormat="1" x14ac:dyDescent="0.25">
      <c r="B28" s="238" t="s">
        <v>414</v>
      </c>
      <c r="C28" s="211" t="s">
        <v>18</v>
      </c>
      <c r="D28" s="220">
        <f t="shared" ref="D28:I28" si="3">SUM(D8:D27)</f>
        <v>22926.630825000004</v>
      </c>
      <c r="E28" s="220">
        <f t="shared" si="3"/>
        <v>4158.0567000000001</v>
      </c>
      <c r="F28" s="220">
        <f t="shared" si="3"/>
        <v>6723.100124999999</v>
      </c>
      <c r="G28" s="220">
        <f t="shared" si="3"/>
        <v>18797.680124999999</v>
      </c>
      <c r="H28" s="220">
        <f t="shared" si="3"/>
        <v>25723.033874999997</v>
      </c>
      <c r="I28" s="220">
        <f t="shared" si="3"/>
        <v>30525.616537500002</v>
      </c>
      <c r="J28" s="47"/>
    </row>
    <row r="29" spans="1:12" s="62" customFormat="1" x14ac:dyDescent="0.25">
      <c r="B29" s="237" t="s">
        <v>415</v>
      </c>
      <c r="C29" s="76" t="s">
        <v>322</v>
      </c>
      <c r="D29" s="240">
        <f t="shared" ref="D29:I29" si="4">D7-D28</f>
        <v>-22926.630825000004</v>
      </c>
      <c r="E29" s="240">
        <f t="shared" si="4"/>
        <v>-4158.0567000000001</v>
      </c>
      <c r="F29" s="240">
        <f t="shared" si="4"/>
        <v>-6723.100124999999</v>
      </c>
      <c r="G29" s="240">
        <f t="shared" si="4"/>
        <v>-10217.680124999999</v>
      </c>
      <c r="H29" s="240">
        <f t="shared" si="4"/>
        <v>-1012.6338749999995</v>
      </c>
      <c r="I29" s="220">
        <f t="shared" si="4"/>
        <v>362.38346249999449</v>
      </c>
      <c r="J29" s="59"/>
    </row>
    <row r="30" spans="1:12" s="236" customFormat="1" ht="36" customHeight="1" x14ac:dyDescent="0.25">
      <c r="B30" s="232" t="s">
        <v>416</v>
      </c>
      <c r="C30" s="15" t="s">
        <v>112</v>
      </c>
      <c r="D30" s="235">
        <f>'App5. Estab Costs'!$F29</f>
        <v>190</v>
      </c>
      <c r="E30" s="235">
        <f>'App5. Estab Costs'!$F45</f>
        <v>190</v>
      </c>
      <c r="F30" s="235">
        <f>'App5. Estab Costs'!$F62</f>
        <v>190</v>
      </c>
      <c r="G30" s="235">
        <f>'App5. Estab Costs'!$F81</f>
        <v>190</v>
      </c>
      <c r="H30" s="235">
        <f>'App5. Estab Costs'!$F103</f>
        <v>190</v>
      </c>
      <c r="I30" s="235">
        <f>'App6. Full Prod Costs'!$E18</f>
        <v>190</v>
      </c>
      <c r="J30" s="12"/>
    </row>
    <row r="31" spans="1:12" x14ac:dyDescent="0.25">
      <c r="A31" s="61"/>
      <c r="B31" s="232" t="s">
        <v>416</v>
      </c>
      <c r="C31" s="15" t="s">
        <v>51</v>
      </c>
      <c r="D31" s="235">
        <f>'App5. Estab Costs'!$F30</f>
        <v>200</v>
      </c>
      <c r="E31" s="235">
        <f>'App5. Estab Costs'!$F46</f>
        <v>200</v>
      </c>
      <c r="F31" s="235">
        <f>'App5. Estab Costs'!$F63</f>
        <v>200</v>
      </c>
      <c r="G31" s="235">
        <f>'App5. Estab Costs'!$F82</f>
        <v>200</v>
      </c>
      <c r="H31" s="235">
        <f>'App5. Estab Costs'!$F104</f>
        <v>200</v>
      </c>
      <c r="I31" s="235">
        <f>'App6. Full Prod Costs'!$E19</f>
        <v>200</v>
      </c>
      <c r="J31" s="59"/>
    </row>
    <row r="32" spans="1:12" x14ac:dyDescent="0.25">
      <c r="A32" s="61"/>
      <c r="B32" s="232" t="s">
        <v>416</v>
      </c>
      <c r="C32" s="15" t="s">
        <v>271</v>
      </c>
      <c r="D32" s="235">
        <f>'App5. Estab Costs'!$F31</f>
        <v>600</v>
      </c>
      <c r="E32" s="235">
        <f>'App5. Estab Costs'!$F47</f>
        <v>600</v>
      </c>
      <c r="F32" s="235">
        <f>'App5. Estab Costs'!$F64</f>
        <v>600</v>
      </c>
      <c r="G32" s="235">
        <f>'App5. Estab Costs'!$F83</f>
        <v>600</v>
      </c>
      <c r="H32" s="235">
        <f>'App5. Estab Costs'!$F105</f>
        <v>600</v>
      </c>
      <c r="I32" s="235">
        <f>'App6. Full Prod Costs'!$E20</f>
        <v>600</v>
      </c>
      <c r="J32" s="59"/>
    </row>
    <row r="33" spans="1:10" x14ac:dyDescent="0.25">
      <c r="A33" s="61"/>
      <c r="B33" s="237" t="s">
        <v>417</v>
      </c>
      <c r="C33" s="233" t="s">
        <v>323</v>
      </c>
      <c r="D33" s="220">
        <f t="shared" ref="D33:I33" si="5">SUM(D30:D32)</f>
        <v>990</v>
      </c>
      <c r="E33" s="220">
        <f t="shared" si="5"/>
        <v>990</v>
      </c>
      <c r="F33" s="220">
        <f t="shared" si="5"/>
        <v>990</v>
      </c>
      <c r="G33" s="220">
        <f t="shared" si="5"/>
        <v>990</v>
      </c>
      <c r="H33" s="220">
        <f t="shared" si="5"/>
        <v>990</v>
      </c>
      <c r="I33" s="220">
        <f t="shared" si="5"/>
        <v>990</v>
      </c>
      <c r="J33" s="59"/>
    </row>
    <row r="34" spans="1:10" s="236" customFormat="1" ht="36" customHeight="1" x14ac:dyDescent="0.25">
      <c r="B34" s="238" t="s">
        <v>418</v>
      </c>
      <c r="C34" s="233" t="s">
        <v>324</v>
      </c>
      <c r="D34" s="245">
        <f t="shared" ref="D34:I34" si="6">D28+D33</f>
        <v>23916.630825000004</v>
      </c>
      <c r="E34" s="245">
        <f t="shared" si="6"/>
        <v>5148.0567000000001</v>
      </c>
      <c r="F34" s="245">
        <f t="shared" si="6"/>
        <v>7713.100124999999</v>
      </c>
      <c r="G34" s="245">
        <f t="shared" si="6"/>
        <v>19787.680124999999</v>
      </c>
      <c r="H34" s="245">
        <f t="shared" si="6"/>
        <v>26713.033874999997</v>
      </c>
      <c r="I34" s="245">
        <f t="shared" si="6"/>
        <v>31515.616537500002</v>
      </c>
      <c r="J34" s="12"/>
    </row>
    <row r="35" spans="1:10" s="62" customFormat="1" x14ac:dyDescent="0.25">
      <c r="B35" s="238" t="s">
        <v>415</v>
      </c>
      <c r="C35" s="233" t="s">
        <v>325</v>
      </c>
      <c r="D35" s="240">
        <f t="shared" ref="D35:I35" si="7">D7-D34</f>
        <v>-23916.630825000004</v>
      </c>
      <c r="E35" s="240">
        <f t="shared" si="7"/>
        <v>-5148.0567000000001</v>
      </c>
      <c r="F35" s="240">
        <f t="shared" si="7"/>
        <v>-7713.100124999999</v>
      </c>
      <c r="G35" s="240">
        <f t="shared" si="7"/>
        <v>-11207.680124999999</v>
      </c>
      <c r="H35" s="240">
        <f t="shared" si="7"/>
        <v>-2002.6338749999995</v>
      </c>
      <c r="I35" s="240">
        <f t="shared" si="7"/>
        <v>-627.61653750000551</v>
      </c>
      <c r="J35" s="59"/>
    </row>
    <row r="36" spans="1:10" s="236" customFormat="1" ht="36" customHeight="1" x14ac:dyDescent="0.25">
      <c r="B36" s="241" t="s">
        <v>8</v>
      </c>
      <c r="C36" s="15" t="s">
        <v>5</v>
      </c>
      <c r="D36" s="235">
        <f>'App3&amp;4. Int&amp;Dep'!$G$22</f>
        <v>160</v>
      </c>
      <c r="E36" s="235">
        <f>'App3&amp;4. Int&amp;Dep'!$G$22</f>
        <v>160</v>
      </c>
      <c r="F36" s="235">
        <f>'App3&amp;4. Int&amp;Dep'!$G$22</f>
        <v>160</v>
      </c>
      <c r="G36" s="235">
        <f>'App3&amp;4. Int&amp;Dep'!$G$22</f>
        <v>160</v>
      </c>
      <c r="H36" s="235">
        <f>'App3&amp;4. Int&amp;Dep'!$G$22</f>
        <v>160</v>
      </c>
      <c r="I36" s="235">
        <f>'App3&amp;4. Int&amp;Dep'!$G$22</f>
        <v>160</v>
      </c>
      <c r="J36" s="12"/>
    </row>
    <row r="37" spans="1:10" x14ac:dyDescent="0.25">
      <c r="A37" s="61"/>
      <c r="B37" s="241" t="s">
        <v>8</v>
      </c>
      <c r="C37" s="47" t="s">
        <v>254</v>
      </c>
      <c r="D37" s="199">
        <f>'App3&amp;4. Int&amp;Dep'!$G$23</f>
        <v>500</v>
      </c>
      <c r="E37" s="199">
        <f>'App3&amp;4. Int&amp;Dep'!$G$23</f>
        <v>500</v>
      </c>
      <c r="F37" s="199">
        <f>'App3&amp;4. Int&amp;Dep'!$G$23</f>
        <v>500</v>
      </c>
      <c r="G37" s="199">
        <f>'App3&amp;4. Int&amp;Dep'!$G$23</f>
        <v>500</v>
      </c>
      <c r="H37" s="199">
        <f>'App3&amp;4. Int&amp;Dep'!$G$23</f>
        <v>500</v>
      </c>
      <c r="I37" s="199">
        <f>'App3&amp;4. Int&amp;Dep'!$G$23</f>
        <v>500</v>
      </c>
      <c r="J37" s="59"/>
    </row>
    <row r="38" spans="1:10" x14ac:dyDescent="0.25">
      <c r="A38" s="61"/>
      <c r="B38" s="241" t="s">
        <v>8</v>
      </c>
      <c r="C38" s="47" t="s">
        <v>155</v>
      </c>
      <c r="D38" s="199">
        <f>'App3&amp;4. Int&amp;Dep'!$G$28</f>
        <v>306.93333333333334</v>
      </c>
      <c r="E38" s="199">
        <f>'App3&amp;4. Int&amp;Dep'!$G$28</f>
        <v>306.93333333333334</v>
      </c>
      <c r="F38" s="199">
        <f>'App3&amp;4. Int&amp;Dep'!$G$28</f>
        <v>306.93333333333334</v>
      </c>
      <c r="G38" s="199">
        <f>'App3&amp;4. Int&amp;Dep'!$G$28</f>
        <v>306.93333333333334</v>
      </c>
      <c r="H38" s="199">
        <f>'App3&amp;4. Int&amp;Dep'!$G$28</f>
        <v>306.93333333333334</v>
      </c>
      <c r="I38" s="199">
        <f>'App3&amp;4. Int&amp;Dep'!$G$28</f>
        <v>306.93333333333334</v>
      </c>
      <c r="J38" s="59"/>
    </row>
    <row r="39" spans="1:10" x14ac:dyDescent="0.25">
      <c r="A39" s="61"/>
      <c r="B39" s="241" t="s">
        <v>8</v>
      </c>
      <c r="C39" s="47" t="s">
        <v>6</v>
      </c>
      <c r="D39" s="199">
        <f>'App3&amp;4. Int&amp;Dep'!$G$24</f>
        <v>30</v>
      </c>
      <c r="E39" s="199">
        <f>'App3&amp;4. Int&amp;Dep'!$G$24</f>
        <v>30</v>
      </c>
      <c r="F39" s="199">
        <f>'App3&amp;4. Int&amp;Dep'!$G$24</f>
        <v>30</v>
      </c>
      <c r="G39" s="199">
        <f>'App3&amp;4. Int&amp;Dep'!$G$24</f>
        <v>30</v>
      </c>
      <c r="H39" s="199">
        <f>'App3&amp;4. Int&amp;Dep'!$G$24</f>
        <v>30</v>
      </c>
      <c r="I39" s="199">
        <f>'App3&amp;4. Int&amp;Dep'!$G$24</f>
        <v>30</v>
      </c>
      <c r="J39" s="59"/>
    </row>
    <row r="40" spans="1:10" x14ac:dyDescent="0.25">
      <c r="A40" s="61"/>
      <c r="B40" s="241" t="s">
        <v>8</v>
      </c>
      <c r="C40" s="47" t="s">
        <v>7</v>
      </c>
      <c r="D40" s="199">
        <f>'App3&amp;4. Int&amp;Dep'!$G$25</f>
        <v>60</v>
      </c>
      <c r="E40" s="199">
        <f>'App3&amp;4. Int&amp;Dep'!$G$25</f>
        <v>60</v>
      </c>
      <c r="F40" s="199">
        <f>'App3&amp;4. Int&amp;Dep'!$G$25</f>
        <v>60</v>
      </c>
      <c r="G40" s="199">
        <f>'App3&amp;4. Int&amp;Dep'!$G$25</f>
        <v>60</v>
      </c>
      <c r="H40" s="199">
        <f>'App3&amp;4. Int&amp;Dep'!$G$25</f>
        <v>60</v>
      </c>
      <c r="I40" s="199">
        <f>'App3&amp;4. Int&amp;Dep'!$G$25</f>
        <v>60</v>
      </c>
      <c r="J40" s="59"/>
    </row>
    <row r="41" spans="1:10" x14ac:dyDescent="0.25">
      <c r="A41" s="61"/>
      <c r="B41" s="241" t="s">
        <v>8</v>
      </c>
      <c r="C41" s="47" t="s">
        <v>9</v>
      </c>
      <c r="D41" s="199">
        <f>'App3&amp;4. Int&amp;Dep'!$G$26</f>
        <v>416.5</v>
      </c>
      <c r="E41" s="199">
        <f>'App3&amp;4. Int&amp;Dep'!$G$26</f>
        <v>416.5</v>
      </c>
      <c r="F41" s="199">
        <f>'App3&amp;4. Int&amp;Dep'!$G$26</f>
        <v>416.5</v>
      </c>
      <c r="G41" s="199">
        <f>'App3&amp;4. Int&amp;Dep'!$G$26</f>
        <v>416.5</v>
      </c>
      <c r="H41" s="199">
        <f>'App3&amp;4. Int&amp;Dep'!$G$26</f>
        <v>416.5</v>
      </c>
      <c r="I41" s="199">
        <f>'App3&amp;4. Int&amp;Dep'!$G$26</f>
        <v>416.5</v>
      </c>
      <c r="J41" s="59"/>
    </row>
    <row r="42" spans="1:10" x14ac:dyDescent="0.25">
      <c r="A42" s="61"/>
      <c r="B42" s="241" t="s">
        <v>8</v>
      </c>
      <c r="C42" s="47" t="s">
        <v>20</v>
      </c>
      <c r="D42" s="199">
        <f>'App3&amp;4. Int&amp;Dep'!$G$27</f>
        <v>133.86133333333333</v>
      </c>
      <c r="E42" s="199">
        <f>'App3&amp;4. Int&amp;Dep'!$G$27</f>
        <v>133.86133333333333</v>
      </c>
      <c r="F42" s="199">
        <f>'App3&amp;4. Int&amp;Dep'!$G$27</f>
        <v>133.86133333333333</v>
      </c>
      <c r="G42" s="199">
        <f>'App3&amp;4. Int&amp;Dep'!$G$27</f>
        <v>133.86133333333333</v>
      </c>
      <c r="H42" s="199">
        <f>'App3&amp;4. Int&amp;Dep'!$G$27</f>
        <v>133.86133333333333</v>
      </c>
      <c r="I42" s="199">
        <f>'App3&amp;4. Int&amp;Dep'!$G$27</f>
        <v>133.86133333333333</v>
      </c>
      <c r="J42" s="59"/>
    </row>
    <row r="43" spans="1:10" x14ac:dyDescent="0.25">
      <c r="A43" s="61"/>
      <c r="B43" s="232" t="s">
        <v>11</v>
      </c>
      <c r="C43" s="47" t="s">
        <v>5</v>
      </c>
      <c r="D43" s="199">
        <f>'App3&amp;4. Int&amp;Dep'!$G$4</f>
        <v>120</v>
      </c>
      <c r="E43" s="199">
        <f>'App3&amp;4. Int&amp;Dep'!$G$4</f>
        <v>120</v>
      </c>
      <c r="F43" s="199">
        <f>'App3&amp;4. Int&amp;Dep'!$G$4</f>
        <v>120</v>
      </c>
      <c r="G43" s="199">
        <f>'App3&amp;4. Int&amp;Dep'!$G$4</f>
        <v>120</v>
      </c>
      <c r="H43" s="199">
        <f>'App3&amp;4. Int&amp;Dep'!$G$4</f>
        <v>120</v>
      </c>
      <c r="I43" s="199">
        <f>'App3&amp;4. Int&amp;Dep'!$G$4</f>
        <v>120</v>
      </c>
      <c r="J43" s="59"/>
    </row>
    <row r="44" spans="1:10" x14ac:dyDescent="0.25">
      <c r="A44" s="61"/>
      <c r="B44" s="232" t="s">
        <v>11</v>
      </c>
      <c r="C44" s="47" t="s">
        <v>254</v>
      </c>
      <c r="D44" s="199">
        <f>'App3&amp;4. Int&amp;Dep'!$G$5</f>
        <v>250</v>
      </c>
      <c r="E44" s="199">
        <f>'App3&amp;4. Int&amp;Dep'!$G$5</f>
        <v>250</v>
      </c>
      <c r="F44" s="199">
        <f>'App3&amp;4. Int&amp;Dep'!$G$5</f>
        <v>250</v>
      </c>
      <c r="G44" s="199">
        <f>'App3&amp;4. Int&amp;Dep'!$G$5</f>
        <v>250</v>
      </c>
      <c r="H44" s="199">
        <f>'App3&amp;4. Int&amp;Dep'!$G$5</f>
        <v>250</v>
      </c>
      <c r="I44" s="199">
        <f>'App3&amp;4. Int&amp;Dep'!$G$5</f>
        <v>250</v>
      </c>
      <c r="J44" s="59"/>
    </row>
    <row r="45" spans="1:10" ht="16.8" x14ac:dyDescent="0.25">
      <c r="A45" s="61"/>
      <c r="B45" s="232" t="s">
        <v>11</v>
      </c>
      <c r="C45" s="47" t="s">
        <v>384</v>
      </c>
      <c r="D45" s="199">
        <f>'App3&amp;4. Int&amp;Dep'!$G$6</f>
        <v>1000</v>
      </c>
      <c r="E45" s="199">
        <f>'App3&amp;4. Int&amp;Dep'!$G$6</f>
        <v>1000</v>
      </c>
      <c r="F45" s="199">
        <f>'App3&amp;4. Int&amp;Dep'!$G$6</f>
        <v>1000</v>
      </c>
      <c r="G45" s="199">
        <f>'App3&amp;4. Int&amp;Dep'!$G$6</f>
        <v>1000</v>
      </c>
      <c r="H45" s="199">
        <f>'App3&amp;4. Int&amp;Dep'!$G$6</f>
        <v>1000</v>
      </c>
      <c r="I45" s="199">
        <f>'App3&amp;4. Int&amp;Dep'!$G$6</f>
        <v>1000</v>
      </c>
      <c r="J45" s="59"/>
    </row>
    <row r="46" spans="1:10" x14ac:dyDescent="0.25">
      <c r="A46" s="61"/>
      <c r="B46" s="232" t="s">
        <v>11</v>
      </c>
      <c r="C46" s="47" t="s">
        <v>155</v>
      </c>
      <c r="D46" s="199">
        <f>'App3&amp;4. Int&amp;Dep'!$G$7</f>
        <v>106.4</v>
      </c>
      <c r="E46" s="199">
        <f>'App3&amp;4. Int&amp;Dep'!$G$7</f>
        <v>106.4</v>
      </c>
      <c r="F46" s="199">
        <f>'App3&amp;4. Int&amp;Dep'!$G$7</f>
        <v>106.4</v>
      </c>
      <c r="G46" s="199">
        <f>'App3&amp;4. Int&amp;Dep'!$G$7</f>
        <v>106.4</v>
      </c>
      <c r="H46" s="199">
        <f>'App3&amp;4. Int&amp;Dep'!$G$7</f>
        <v>106.4</v>
      </c>
      <c r="I46" s="199">
        <f>'App3&amp;4. Int&amp;Dep'!$G$7</f>
        <v>106.4</v>
      </c>
      <c r="J46" s="59"/>
    </row>
    <row r="47" spans="1:10" x14ac:dyDescent="0.25">
      <c r="A47" s="61"/>
      <c r="B47" s="232" t="s">
        <v>11</v>
      </c>
      <c r="C47" s="47" t="s">
        <v>6</v>
      </c>
      <c r="D47" s="199">
        <f>'App3&amp;4. Int&amp;Dep'!$G$8</f>
        <v>22.5</v>
      </c>
      <c r="E47" s="199">
        <f>'App3&amp;4. Int&amp;Dep'!$G$8</f>
        <v>22.5</v>
      </c>
      <c r="F47" s="199">
        <f>'App3&amp;4. Int&amp;Dep'!$G$8</f>
        <v>22.5</v>
      </c>
      <c r="G47" s="199">
        <f>'App3&amp;4. Int&amp;Dep'!$G$8</f>
        <v>22.5</v>
      </c>
      <c r="H47" s="199">
        <f>'App3&amp;4. Int&amp;Dep'!$G$8</f>
        <v>22.5</v>
      </c>
      <c r="I47" s="199">
        <f>'App3&amp;4. Int&amp;Dep'!$G$8</f>
        <v>22.5</v>
      </c>
      <c r="J47" s="59"/>
    </row>
    <row r="48" spans="1:10" x14ac:dyDescent="0.25">
      <c r="A48" s="61"/>
      <c r="B48" s="232" t="s">
        <v>11</v>
      </c>
      <c r="C48" s="47" t="s">
        <v>7</v>
      </c>
      <c r="D48" s="199">
        <f>'App3&amp;4. Int&amp;Dep'!$G$9</f>
        <v>75</v>
      </c>
      <c r="E48" s="199">
        <f>'App3&amp;4. Int&amp;Dep'!$G$9</f>
        <v>75</v>
      </c>
      <c r="F48" s="199">
        <f>'App3&amp;4. Int&amp;Dep'!$G$9</f>
        <v>75</v>
      </c>
      <c r="G48" s="199">
        <f>'App3&amp;4. Int&amp;Dep'!$G$9</f>
        <v>75</v>
      </c>
      <c r="H48" s="199">
        <f>'App3&amp;4. Int&amp;Dep'!$G$9</f>
        <v>75</v>
      </c>
      <c r="I48" s="199">
        <f>'App3&amp;4. Int&amp;Dep'!$G$9</f>
        <v>75</v>
      </c>
      <c r="J48" s="59"/>
    </row>
    <row r="49" spans="1:12" x14ac:dyDescent="0.25">
      <c r="A49" s="61"/>
      <c r="B49" s="232" t="s">
        <v>11</v>
      </c>
      <c r="C49" s="47" t="s">
        <v>9</v>
      </c>
      <c r="D49" s="199">
        <f>'App3&amp;4. Int&amp;Dep'!$G$10</f>
        <v>208.25</v>
      </c>
      <c r="E49" s="199">
        <f>'App3&amp;4. Int&amp;Dep'!$G$10</f>
        <v>208.25</v>
      </c>
      <c r="F49" s="199">
        <f>'App3&amp;4. Int&amp;Dep'!$G$10</f>
        <v>208.25</v>
      </c>
      <c r="G49" s="199">
        <f>'App3&amp;4. Int&amp;Dep'!$G$10</f>
        <v>208.25</v>
      </c>
      <c r="H49" s="199">
        <f>'App3&amp;4. Int&amp;Dep'!$G$10</f>
        <v>208.25</v>
      </c>
      <c r="I49" s="199">
        <f>'App3&amp;4. Int&amp;Dep'!$G$10</f>
        <v>208.25</v>
      </c>
      <c r="J49" s="59"/>
    </row>
    <row r="50" spans="1:12" x14ac:dyDescent="0.25">
      <c r="A50" s="61"/>
      <c r="B50" s="232" t="s">
        <v>11</v>
      </c>
      <c r="C50" s="47" t="s">
        <v>117</v>
      </c>
      <c r="D50" s="199">
        <f>'App3&amp;4. Int&amp;Dep'!$G$11</f>
        <v>100.39600000000002</v>
      </c>
      <c r="E50" s="199">
        <f>'App3&amp;4. Int&amp;Dep'!$G$11</f>
        <v>100.39600000000002</v>
      </c>
      <c r="F50" s="199">
        <f>'App3&amp;4. Int&amp;Dep'!$G$11</f>
        <v>100.39600000000002</v>
      </c>
      <c r="G50" s="199">
        <f>'App3&amp;4. Int&amp;Dep'!$G$11</f>
        <v>100.39600000000002</v>
      </c>
      <c r="H50" s="199">
        <f>'App3&amp;4. Int&amp;Dep'!$G$11</f>
        <v>100.39600000000002</v>
      </c>
      <c r="I50" s="199">
        <f>'App3&amp;4. Int&amp;Dep'!$G$11</f>
        <v>100.39600000000002</v>
      </c>
      <c r="J50" s="59"/>
    </row>
    <row r="51" spans="1:12" x14ac:dyDescent="0.25">
      <c r="A51" s="61"/>
      <c r="B51" s="232" t="s">
        <v>11</v>
      </c>
      <c r="C51" s="47" t="s">
        <v>61</v>
      </c>
      <c r="D51" s="199">
        <v>0</v>
      </c>
      <c r="E51" s="199">
        <f>D59*'App9. Data for tables'!$C$75</f>
        <v>1407.8235745833335</v>
      </c>
      <c r="F51" s="199">
        <f>E59*'App9. Data for tables'!$D$75</f>
        <v>1947.6096216458336</v>
      </c>
      <c r="G51" s="199">
        <f>F59*'App9. Data for tables'!$E$75</f>
        <v>2642.6371423114588</v>
      </c>
      <c r="H51" s="199">
        <f>G59*'App9. Data for tables'!$F$75</f>
        <v>3547.1450390103655</v>
      </c>
      <c r="I51" s="199">
        <v>0</v>
      </c>
      <c r="J51" s="59"/>
    </row>
    <row r="52" spans="1:12" x14ac:dyDescent="0.25">
      <c r="A52" s="61"/>
      <c r="B52" s="15" t="s">
        <v>419</v>
      </c>
      <c r="C52" s="47" t="s">
        <v>15</v>
      </c>
      <c r="D52" s="199">
        <f>'App5. Estab Costs'!$F$32</f>
        <v>750</v>
      </c>
      <c r="E52" s="199">
        <f>'App5. Estab Costs'!$F$48</f>
        <v>750</v>
      </c>
      <c r="F52" s="199">
        <f>'App5. Estab Costs'!$F$65</f>
        <v>750</v>
      </c>
      <c r="G52" s="199">
        <f>'App5. Estab Costs'!$F$84</f>
        <v>750</v>
      </c>
      <c r="H52" s="199">
        <f>'App5. Estab Costs'!$F$106</f>
        <v>750</v>
      </c>
      <c r="I52" s="199">
        <f>'App6. Full Prod Costs'!$E$21</f>
        <v>750</v>
      </c>
      <c r="J52" s="59"/>
    </row>
    <row r="53" spans="1:12" ht="16.8" x14ac:dyDescent="0.25">
      <c r="A53" s="61"/>
      <c r="B53" s="15" t="s">
        <v>419</v>
      </c>
      <c r="C53" s="47" t="s">
        <v>385</v>
      </c>
      <c r="D53" s="199">
        <v>0</v>
      </c>
      <c r="E53" s="199">
        <v>0</v>
      </c>
      <c r="F53" s="199">
        <v>0</v>
      </c>
      <c r="G53" s="199">
        <v>0</v>
      </c>
      <c r="H53" s="199">
        <v>0</v>
      </c>
      <c r="I53" s="199">
        <f>-'App8. Amort Calc'!C8</f>
        <v>7777.9556960274967</v>
      </c>
      <c r="J53" s="59"/>
    </row>
    <row r="54" spans="1:12" s="236" customFormat="1" ht="27" customHeight="1" x14ac:dyDescent="0.25">
      <c r="B54" s="238" t="s">
        <v>420</v>
      </c>
      <c r="C54" s="244" t="s">
        <v>326</v>
      </c>
      <c r="D54" s="245">
        <f t="shared" ref="D54:I54" si="8">SUM(D36:D53)</f>
        <v>4239.8406666666669</v>
      </c>
      <c r="E54" s="245">
        <f t="shared" si="8"/>
        <v>5647.6642412500005</v>
      </c>
      <c r="F54" s="245">
        <f t="shared" si="8"/>
        <v>6187.4502883125006</v>
      </c>
      <c r="G54" s="245">
        <f t="shared" si="8"/>
        <v>6882.4778089781257</v>
      </c>
      <c r="H54" s="245">
        <f t="shared" si="8"/>
        <v>7786.9857056770325</v>
      </c>
      <c r="I54" s="245">
        <f t="shared" si="8"/>
        <v>12017.796362694164</v>
      </c>
      <c r="J54" s="12"/>
    </row>
    <row r="55" spans="1:12" s="236" customFormat="1" ht="36" customHeight="1" x14ac:dyDescent="0.25">
      <c r="B55" s="237" t="s">
        <v>415</v>
      </c>
      <c r="C55" s="233" t="s">
        <v>328</v>
      </c>
      <c r="D55" s="246">
        <f t="shared" ref="D55:I55" si="9">D7-SUM(D34,D36:D42)</f>
        <v>-25523.925491666672</v>
      </c>
      <c r="E55" s="246">
        <f t="shared" si="9"/>
        <v>-6755.3513666666668</v>
      </c>
      <c r="F55" s="246">
        <f t="shared" si="9"/>
        <v>-9320.3947916666657</v>
      </c>
      <c r="G55" s="246">
        <f t="shared" si="9"/>
        <v>-12814.974791666667</v>
      </c>
      <c r="H55" s="246">
        <f t="shared" si="9"/>
        <v>-3609.928541666668</v>
      </c>
      <c r="I55" s="246">
        <f t="shared" si="9"/>
        <v>-2234.9112041666704</v>
      </c>
      <c r="J55" s="12"/>
    </row>
    <row r="56" spans="1:12" s="236" customFormat="1" ht="36" customHeight="1" x14ac:dyDescent="0.25">
      <c r="B56" s="238" t="s">
        <v>421</v>
      </c>
      <c r="C56" s="233" t="s">
        <v>16</v>
      </c>
      <c r="D56" s="245">
        <f t="shared" ref="D56:I56" si="10">D33+D54</f>
        <v>5229.8406666666669</v>
      </c>
      <c r="E56" s="245">
        <f t="shared" si="10"/>
        <v>6637.6642412500005</v>
      </c>
      <c r="F56" s="245">
        <f t="shared" si="10"/>
        <v>7177.4502883125006</v>
      </c>
      <c r="G56" s="245">
        <f t="shared" si="10"/>
        <v>7872.4778089781257</v>
      </c>
      <c r="H56" s="245">
        <f t="shared" si="10"/>
        <v>8776.9857056770325</v>
      </c>
      <c r="I56" s="245">
        <f t="shared" si="10"/>
        <v>13007.796362694164</v>
      </c>
      <c r="J56" s="12"/>
    </row>
    <row r="57" spans="1:12" s="236" customFormat="1" ht="36" customHeight="1" x14ac:dyDescent="0.25">
      <c r="B57" s="237" t="s">
        <v>422</v>
      </c>
      <c r="C57" s="244" t="s">
        <v>423</v>
      </c>
      <c r="D57" s="245">
        <f t="shared" ref="D57:I57" si="11">D28+D56</f>
        <v>28156.471491666671</v>
      </c>
      <c r="E57" s="245">
        <f t="shared" si="11"/>
        <v>10795.720941250001</v>
      </c>
      <c r="F57" s="245">
        <f t="shared" si="11"/>
        <v>13900.5504133125</v>
      </c>
      <c r="G57" s="245">
        <f t="shared" si="11"/>
        <v>26670.157933978124</v>
      </c>
      <c r="H57" s="245">
        <f t="shared" si="11"/>
        <v>34500.019580677028</v>
      </c>
      <c r="I57" s="245">
        <f t="shared" si="11"/>
        <v>43533.412900194162</v>
      </c>
      <c r="J57" s="12"/>
    </row>
    <row r="58" spans="1:12" s="236" customFormat="1" ht="36" customHeight="1" x14ac:dyDescent="0.25">
      <c r="B58" s="238" t="s">
        <v>424</v>
      </c>
      <c r="C58" s="244" t="s">
        <v>17</v>
      </c>
      <c r="D58" s="247">
        <f t="shared" ref="D58:I58" si="12">D7-D57</f>
        <v>-28156.471491666671</v>
      </c>
      <c r="E58" s="247">
        <f t="shared" si="12"/>
        <v>-10795.720941250001</v>
      </c>
      <c r="F58" s="247">
        <f t="shared" si="12"/>
        <v>-13900.5504133125</v>
      </c>
      <c r="G58" s="247">
        <f t="shared" si="12"/>
        <v>-18090.157933978124</v>
      </c>
      <c r="H58" s="247">
        <f t="shared" si="12"/>
        <v>-9789.6195806770302</v>
      </c>
      <c r="I58" s="247">
        <f t="shared" si="12"/>
        <v>-12645.412900194166</v>
      </c>
      <c r="J58" s="12"/>
      <c r="L58" s="248"/>
    </row>
    <row r="59" spans="1:12" s="236" customFormat="1" ht="36" customHeight="1" x14ac:dyDescent="0.25">
      <c r="B59" s="242" t="s">
        <v>425</v>
      </c>
      <c r="C59" s="243" t="s">
        <v>19</v>
      </c>
      <c r="D59" s="249">
        <f>D57-D7</f>
        <v>28156.471491666671</v>
      </c>
      <c r="E59" s="249">
        <f>SUM(D57:E57)-SUM(D7:E7)</f>
        <v>38952.192432916672</v>
      </c>
      <c r="F59" s="249">
        <f>SUM(D57:F57)-SUM(D7:F7)</f>
        <v>52852.742846229172</v>
      </c>
      <c r="G59" s="249">
        <f>SUM(D57:G57)-SUM(D7:G7)</f>
        <v>70942.900780207303</v>
      </c>
      <c r="H59" s="249">
        <f>SUM(D57:H57)-SUM(D7:H7)</f>
        <v>80732.520360884344</v>
      </c>
      <c r="I59" s="250"/>
      <c r="J59" s="12"/>
    </row>
    <row r="60" spans="1:12" s="62" customFormat="1" x14ac:dyDescent="0.3">
      <c r="B60" s="43" t="s">
        <v>118</v>
      </c>
      <c r="C60" s="60"/>
      <c r="D60" s="60"/>
      <c r="E60" s="60"/>
      <c r="F60" s="60"/>
      <c r="G60" s="60"/>
      <c r="H60" s="58"/>
      <c r="I60" s="59"/>
    </row>
    <row r="61" spans="1:12" s="62" customFormat="1" ht="18" customHeight="1" x14ac:dyDescent="0.3">
      <c r="B61" s="43" t="s">
        <v>401</v>
      </c>
      <c r="C61" s="60"/>
      <c r="D61" s="60"/>
      <c r="E61" s="60"/>
      <c r="F61" s="60"/>
      <c r="G61" s="60"/>
      <c r="H61" s="58"/>
      <c r="I61" s="59"/>
    </row>
    <row r="62" spans="1:12" s="62" customFormat="1" ht="30.6" customHeight="1" x14ac:dyDescent="0.3">
      <c r="B62" s="327" t="s">
        <v>386</v>
      </c>
      <c r="C62" s="327"/>
      <c r="D62" s="327"/>
      <c r="E62" s="327"/>
      <c r="F62" s="327"/>
      <c r="G62" s="327"/>
      <c r="H62" s="327"/>
      <c r="I62" s="327"/>
    </row>
    <row r="63" spans="1:12" s="62" customFormat="1" ht="19.2" customHeight="1" x14ac:dyDescent="0.3">
      <c r="B63" s="43" t="s">
        <v>387</v>
      </c>
      <c r="C63" s="59"/>
      <c r="D63" s="59"/>
      <c r="E63" s="59"/>
      <c r="F63" s="59"/>
      <c r="G63" s="59"/>
      <c r="H63" s="59"/>
      <c r="I63" s="59"/>
    </row>
    <row r="64" spans="1:12" s="62" customFormat="1" ht="18" customHeight="1" x14ac:dyDescent="0.3">
      <c r="A64" s="228"/>
      <c r="B64" s="43" t="s">
        <v>250</v>
      </c>
      <c r="C64" s="59"/>
      <c r="D64" s="59"/>
      <c r="E64" s="59"/>
      <c r="F64" s="59"/>
      <c r="G64" s="59"/>
      <c r="H64" s="59"/>
      <c r="I64" s="59"/>
    </row>
    <row r="65" spans="1:9" s="62" customFormat="1" ht="18" customHeight="1" x14ac:dyDescent="0.3">
      <c r="A65" s="228"/>
      <c r="B65" s="43" t="s">
        <v>388</v>
      </c>
      <c r="C65" s="59"/>
      <c r="D65" s="59"/>
      <c r="E65" s="59"/>
      <c r="F65" s="59"/>
      <c r="G65" s="59"/>
      <c r="H65" s="59"/>
      <c r="I65" s="59"/>
    </row>
    <row r="66" spans="1:9" s="62" customFormat="1" ht="20.399999999999999" customHeight="1" x14ac:dyDescent="0.3">
      <c r="A66" s="228"/>
      <c r="B66" s="324" t="s">
        <v>389</v>
      </c>
      <c r="C66" s="324"/>
      <c r="D66" s="324"/>
      <c r="E66" s="324"/>
      <c r="F66" s="324"/>
      <c r="G66" s="324"/>
      <c r="H66" s="324"/>
      <c r="I66" s="324"/>
    </row>
    <row r="67" spans="1:9" s="62" customFormat="1" ht="16.2" customHeight="1" x14ac:dyDescent="0.3">
      <c r="A67" s="228"/>
      <c r="B67" s="43" t="s">
        <v>390</v>
      </c>
      <c r="C67" s="59"/>
      <c r="D67" s="59"/>
      <c r="E67" s="59"/>
      <c r="F67" s="59"/>
      <c r="G67" s="59"/>
      <c r="H67" s="59"/>
      <c r="I67" s="59"/>
    </row>
    <row r="68" spans="1:9" s="62" customFormat="1" ht="18" customHeight="1" x14ac:dyDescent="0.3">
      <c r="A68" s="228"/>
      <c r="B68" s="43" t="s">
        <v>391</v>
      </c>
      <c r="C68" s="59"/>
      <c r="D68" s="59"/>
      <c r="E68" s="59"/>
      <c r="F68" s="59"/>
      <c r="G68" s="59"/>
      <c r="H68" s="59"/>
      <c r="I68" s="59"/>
    </row>
    <row r="69" spans="1:9" s="62" customFormat="1" ht="31.2" customHeight="1" x14ac:dyDescent="0.3">
      <c r="A69" s="228"/>
      <c r="B69" s="324" t="s">
        <v>392</v>
      </c>
      <c r="C69" s="324"/>
      <c r="D69" s="324"/>
      <c r="E69" s="324"/>
      <c r="F69" s="324"/>
      <c r="G69" s="324"/>
      <c r="H69" s="324"/>
      <c r="I69" s="324"/>
    </row>
    <row r="70" spans="1:9" s="62" customFormat="1" ht="16.2" customHeight="1" x14ac:dyDescent="0.3">
      <c r="A70" s="228"/>
      <c r="B70" s="43" t="s">
        <v>398</v>
      </c>
    </row>
    <row r="71" spans="1:9" s="62" customFormat="1" ht="30.6" customHeight="1" x14ac:dyDescent="0.3">
      <c r="A71" s="228"/>
      <c r="B71" s="324" t="s">
        <v>393</v>
      </c>
      <c r="C71" s="324"/>
      <c r="D71" s="324"/>
      <c r="E71" s="324"/>
      <c r="F71" s="324"/>
      <c r="G71" s="324"/>
      <c r="H71" s="324"/>
      <c r="I71" s="324"/>
    </row>
    <row r="72" spans="1:9" s="62" customFormat="1" ht="19.2" customHeight="1" x14ac:dyDescent="0.3">
      <c r="A72" s="228"/>
      <c r="B72" s="324" t="s">
        <v>394</v>
      </c>
      <c r="C72" s="324"/>
      <c r="D72" s="324"/>
      <c r="E72" s="324"/>
      <c r="F72" s="324"/>
      <c r="G72" s="324"/>
      <c r="H72" s="324"/>
      <c r="I72" s="324"/>
    </row>
    <row r="73" spans="1:9" s="62" customFormat="1" ht="18" customHeight="1" x14ac:dyDescent="0.3">
      <c r="A73" s="228"/>
      <c r="B73" s="43" t="s">
        <v>395</v>
      </c>
    </row>
    <row r="74" spans="1:9" s="62" customFormat="1" ht="30" customHeight="1" x14ac:dyDescent="0.3">
      <c r="A74" s="228"/>
      <c r="B74" s="325" t="s">
        <v>396</v>
      </c>
      <c r="C74" s="325"/>
      <c r="D74" s="325"/>
      <c r="E74" s="325"/>
      <c r="F74" s="325"/>
      <c r="G74" s="325"/>
      <c r="H74" s="325"/>
      <c r="I74" s="325"/>
    </row>
  </sheetData>
  <protectedRanges>
    <protectedRange sqref="D4:I5" name="Est Production and Price"/>
  </protectedRanges>
  <mergeCells count="7">
    <mergeCell ref="B72:I72"/>
    <mergeCell ref="B74:I74"/>
    <mergeCell ref="B2:I2"/>
    <mergeCell ref="B62:I62"/>
    <mergeCell ref="B66:I66"/>
    <mergeCell ref="B69:I69"/>
    <mergeCell ref="B71:I71"/>
  </mergeCells>
  <phoneticPr fontId="18" type="noConversion"/>
  <printOptions gridLines="1"/>
  <pageMargins left="0.25" right="0.25" top="0.25" bottom="0.25" header="0.3" footer="0.3"/>
  <pageSetup scale="64" orientation="portrait" r:id="rId1"/>
  <ignoredErrors>
    <ignoredError sqref="D40:H40 I40" formula="1"/>
    <ignoredError sqref="G4:H4 I4 G5:I5 D5:F5" unlockedFormula="1"/>
  </ignoredErrors>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26"/>
  <sheetViews>
    <sheetView workbookViewId="0">
      <selection activeCell="B2" sqref="B2:G2"/>
    </sheetView>
  </sheetViews>
  <sheetFormatPr defaultColWidth="9.109375" defaultRowHeight="13.8" x14ac:dyDescent="0.25"/>
  <cols>
    <col min="1" max="1" width="6.6640625" style="12" customWidth="1"/>
    <col min="2" max="2" width="14.88671875" style="12" customWidth="1"/>
    <col min="3" max="3" width="13.44140625" style="12" customWidth="1"/>
    <col min="4" max="7" width="16.6640625" style="12" customWidth="1"/>
    <col min="8" max="8" width="9.109375" style="12"/>
    <col min="9" max="9" width="12.44140625" style="12" bestFit="1" customWidth="1"/>
    <col min="10" max="16384" width="9.109375" style="12"/>
  </cols>
  <sheetData>
    <row r="2" spans="1:15" ht="45.6" customHeight="1" x14ac:dyDescent="0.3">
      <c r="B2" s="328" t="s">
        <v>489</v>
      </c>
      <c r="C2" s="326"/>
      <c r="D2" s="328"/>
      <c r="E2" s="328"/>
      <c r="F2" s="328"/>
      <c r="G2" s="328"/>
      <c r="H2" s="26"/>
      <c r="I2" s="27"/>
    </row>
    <row r="3" spans="1:15" ht="36" customHeight="1" x14ac:dyDescent="0.25">
      <c r="A3" s="28"/>
      <c r="B3" s="251" t="s">
        <v>261</v>
      </c>
      <c r="C3" s="251" t="s">
        <v>165</v>
      </c>
      <c r="D3" s="251" t="s">
        <v>426</v>
      </c>
      <c r="E3" s="251" t="s">
        <v>427</v>
      </c>
      <c r="F3" s="251" t="s">
        <v>428</v>
      </c>
      <c r="G3" s="251" t="s">
        <v>429</v>
      </c>
    </row>
    <row r="4" spans="1:15" ht="18" customHeight="1" x14ac:dyDescent="0.3">
      <c r="A4" s="28"/>
      <c r="B4" s="182">
        <v>65</v>
      </c>
      <c r="C4" s="188">
        <f>B4*$E$23</f>
        <v>46.8</v>
      </c>
      <c r="D4" s="203">
        <f>$C4*C$15-((SUM('Honeycrisp-Spindle Budget'!$I$10:$I$19,'App9. Data for tables'!$H$59*$B4,'App9. Data for tables'!$H$60*$B4,'App9. Data for tables'!$H$61*$B4,'App9. Data for tables'!$H$67*$B4,'Honeycrisp-Spindle Budget'!$I$24:$I$25))*((1+$C$19)*(1+0.75*$C$20)))-'Honeycrisp-Spindle Budget'!$I$56</f>
        <v>-21069.412900194169</v>
      </c>
      <c r="E4" s="203">
        <f>$C4*C$16-((SUM('Honeycrisp-Spindle Budget'!$I$10:$I$19,'App9. Data for tables'!$H$59*$B4,'App9. Data for tables'!$H$60*$B4,'App9. Data for tables'!$H$61*$B4,'App9. Data for tables'!$H$67*$B4,'Honeycrisp-Spindle Budget'!$I$24:$I$25))*((1+$C$19)*(1+0.75*$C$20)))-'Honeycrisp-Spindle Budget'!$I$56</f>
        <v>-10586.212900194172</v>
      </c>
      <c r="F4" s="203">
        <f>$C4*C$17-((SUM('Honeycrisp-Spindle Budget'!$I$10:$I$19,'App9. Data for tables'!$H$59*$B4,'App9. Data for tables'!$H$60*$B4,'App9. Data for tables'!$H$61*$B4,'App9. Data for tables'!$H$67*$B4,'Honeycrisp-Spindle Budget'!$I$24:$I$25))*((1+$C$19)*(1+0.75*$C$20)))-'Honeycrisp-Spindle Budget'!$I$56</f>
        <v>-8339.8129001941707</v>
      </c>
      <c r="G4" s="203">
        <f>$C4*C$18-((SUM('Honeycrisp-Spindle Budget'!$I$10:$I$19,'App9. Data for tables'!$H$59*$B4,'App9. Data for tables'!$H$60*$B4,'App9. Data for tables'!$H$61*$B4,'App9. Data for tables'!$H$67*$B4,'Honeycrisp-Spindle Budget'!$I$24:$I$25))*((1+$C$19)*(1+0.75*$C$20)))-'Honeycrisp-Spindle Budget'!$I$56</f>
        <v>-6842.2129001941721</v>
      </c>
      <c r="I4" s="63"/>
      <c r="J4" s="63"/>
      <c r="K4" s="63"/>
      <c r="L4" s="63"/>
      <c r="M4" s="63"/>
      <c r="N4" s="63"/>
      <c r="O4" s="57"/>
    </row>
    <row r="5" spans="1:15" ht="18" customHeight="1" x14ac:dyDescent="0.25">
      <c r="B5" s="182">
        <v>69</v>
      </c>
      <c r="C5" s="188">
        <f t="shared" ref="C5:C10" si="0">B5*$E$23</f>
        <v>49.68</v>
      </c>
      <c r="D5" s="203">
        <f>$C5*C$15-((SUM('Honeycrisp-Spindle Budget'!$I$10:$I$19,'App9. Data for tables'!$H$59*$B5,'App9. Data for tables'!$H$60*$B5,'App9. Data for tables'!$H$61*$B5,'App9. Data for tables'!$H$67*$B5,'Honeycrisp-Spindle Budget'!$I$24:$I$25))*((1+$C$19)*(1+0.75*$C$20)))-'Honeycrisp-Spindle Budget'!$I$56</f>
        <v>-21094.485400194171</v>
      </c>
      <c r="E5" s="203">
        <f>$C5*C$16-((SUM('Honeycrisp-Spindle Budget'!$I$10:$I$19,'App9. Data for tables'!$H$59*$B5,'App9. Data for tables'!$H$60*$B5,'App9. Data for tables'!$H$61*$B5,'App9. Data for tables'!$H$67*$B5,'Honeycrisp-Spindle Budget'!$I$24:$I$25))*((1+$C$19)*(1+0.75*$C$20)))-'Honeycrisp-Spindle Budget'!$I$56</f>
        <v>-9966.1654001941715</v>
      </c>
      <c r="F5" s="203">
        <f>$C5*C$17-((SUM('Honeycrisp-Spindle Budget'!$I$10:$I$19,'App9. Data for tables'!$H$59*$B5,'App9. Data for tables'!$H$60*$B5,'App9. Data for tables'!$H$61*$B5,'App9. Data for tables'!$H$67*$B5,'Honeycrisp-Spindle Budget'!$I$24:$I$25))*((1+$C$19)*(1+0.75*$C$20)))-'Honeycrisp-Spindle Budget'!$I$56</f>
        <v>-7581.5254001941721</v>
      </c>
      <c r="G5" s="203">
        <f>$C5*C$18-((SUM('Honeycrisp-Spindle Budget'!$I$10:$I$19,'App9. Data for tables'!$H$59*$B5,'App9. Data for tables'!$H$60*$B5,'App9. Data for tables'!$H$61*$B5,'App9. Data for tables'!$H$67*$B5,'Honeycrisp-Spindle Budget'!$I$24:$I$25))*((1+$C$19)*(1+0.75*$C$20)))-'Honeycrisp-Spindle Budget'!$I$56</f>
        <v>-5991.7654001941701</v>
      </c>
      <c r="I5" s="29"/>
    </row>
    <row r="6" spans="1:15" ht="18" customHeight="1" x14ac:dyDescent="0.25">
      <c r="B6" s="182">
        <v>73</v>
      </c>
      <c r="C6" s="188">
        <f t="shared" si="0"/>
        <v>52.559999999999995</v>
      </c>
      <c r="D6" s="203">
        <f>$C6*C$15-((SUM('Honeycrisp-Spindle Budget'!$I$10:$I$19,'App9. Data for tables'!$H$59*$B6,'App9. Data for tables'!$H$60*$B6,'App9. Data for tables'!$H$61*$B6,'App9. Data for tables'!$H$67*$B6,'Honeycrisp-Spindle Budget'!$I$24:$I$25))*((1+$C$19)*(1+0.75*$C$20)))-'Honeycrisp-Spindle Budget'!$I$56</f>
        <v>-21119.55790019417</v>
      </c>
      <c r="E6" s="203">
        <f>$C6*C$16-((SUM('Honeycrisp-Spindle Budget'!$I$10:$I$19,'App9. Data for tables'!$H$59*$B6,'App9. Data for tables'!$H$60*$B6,'App9. Data for tables'!$H$61*$B6,'App9. Data for tables'!$H$67*$B6,'Honeycrisp-Spindle Budget'!$I$24:$I$25))*((1+$C$19)*(1+0.75*$C$20)))-'Honeycrisp-Spindle Budget'!$I$56</f>
        <v>-9346.1179001941709</v>
      </c>
      <c r="F6" s="203">
        <f>$C6*C$17-((SUM('Honeycrisp-Spindle Budget'!$I$10:$I$19,'App9. Data for tables'!$H$59*$B6,'App9. Data for tables'!$H$60*$B6,'App9. Data for tables'!$H$61*$B6,'App9. Data for tables'!$H$67*$B6,'Honeycrisp-Spindle Budget'!$I$24:$I$25))*((1+$C$19)*(1+0.75*$C$20)))-'Honeycrisp-Spindle Budget'!$I$56</f>
        <v>-6823.2379001941736</v>
      </c>
      <c r="G6" s="203">
        <f>$C6*C$18-((SUM('Honeycrisp-Spindle Budget'!$I$10:$I$19,'App9. Data for tables'!$H$59*$B6,'App9. Data for tables'!$H$60*$B6,'App9. Data for tables'!$H$61*$B6,'App9. Data for tables'!$H$67*$B6,'Honeycrisp-Spindle Budget'!$I$24:$I$25))*((1+$C$19)*(1+0.75*$C$20)))-'Honeycrisp-Spindle Budget'!$I$56</f>
        <v>-5141.3179001941753</v>
      </c>
    </row>
    <row r="7" spans="1:15" ht="18" customHeight="1" x14ac:dyDescent="0.25">
      <c r="B7" s="182">
        <v>77</v>
      </c>
      <c r="C7" s="188">
        <f t="shared" si="0"/>
        <v>55.44</v>
      </c>
      <c r="D7" s="203">
        <f>$C7*C$15-((SUM('Honeycrisp-Spindle Budget'!$I$10:$I$19,'App9. Data for tables'!$H$59*$B7,'App9. Data for tables'!$H$60*$B7,'App9. Data for tables'!$H$61*$B7,'App9. Data for tables'!$H$67*$B7,'Honeycrisp-Spindle Budget'!$I$24:$I$25))*((1+$C$19)*(1+0.75*$C$20)))-'Honeycrisp-Spindle Budget'!$I$56</f>
        <v>-21144.630400194175</v>
      </c>
      <c r="E7" s="203">
        <f>$C7*C$16-((SUM('Honeycrisp-Spindle Budget'!$I$10:$I$19,'App9. Data for tables'!$H$59*$B7,'App9. Data for tables'!$H$60*$B7,'App9. Data for tables'!$H$61*$B7,'App9. Data for tables'!$H$67*$B7,'Honeycrisp-Spindle Budget'!$I$24:$I$25))*((1+$C$19)*(1+0.75*$C$20)))-'Honeycrisp-Spindle Budget'!$I$56</f>
        <v>-8726.0704001941776</v>
      </c>
      <c r="F7" s="203">
        <f>$C7*C$17-((SUM('Honeycrisp-Spindle Budget'!$I$10:$I$19,'App9. Data for tables'!$H$59*$B7,'App9. Data for tables'!$H$60*$B7,'App9. Data for tables'!$H$61*$B7,'App9. Data for tables'!$H$67*$B7,'Honeycrisp-Spindle Budget'!$I$24:$I$25))*((1+$C$19)*(1+0.75*$C$20)))-'Honeycrisp-Spindle Budget'!$I$56</f>
        <v>-6064.950400194175</v>
      </c>
      <c r="G7" s="203">
        <f>$C7*C$18-((SUM('Honeycrisp-Spindle Budget'!$I$10:$I$19,'App9. Data for tables'!$H$59*$B7,'App9. Data for tables'!$H$60*$B7,'App9. Data for tables'!$H$61*$B7,'App9. Data for tables'!$H$67*$B7,'Honeycrisp-Spindle Budget'!$I$24:$I$25))*((1+$C$19)*(1+0.75*$C$20)))-'Honeycrisp-Spindle Budget'!$I$56</f>
        <v>-4290.8704001941733</v>
      </c>
    </row>
    <row r="8" spans="1:15" ht="18" customHeight="1" x14ac:dyDescent="0.25">
      <c r="B8" s="182">
        <v>81</v>
      </c>
      <c r="C8" s="188">
        <f t="shared" si="0"/>
        <v>58.32</v>
      </c>
      <c r="D8" s="203">
        <f>$C8*C$15-((SUM('Honeycrisp-Spindle Budget'!$I$10:$I$19,'App9. Data for tables'!$H$59*$B8,'App9. Data for tables'!$H$60*$B8,'App9. Data for tables'!$H$61*$B8,'App9. Data for tables'!$H$67*$B8,'Honeycrisp-Spindle Budget'!$I$24:$I$25))*((1+$C$19)*(1+0.75*$C$20)))-'Honeycrisp-Spindle Budget'!$I$56</f>
        <v>-21169.70290019417</v>
      </c>
      <c r="E8" s="203">
        <f>$C8*C$16-((SUM('Honeycrisp-Spindle Budget'!$I$10:$I$19,'App9. Data for tables'!$H$59*$B8,'App9. Data for tables'!$H$60*$B8,'App9. Data for tables'!$H$61*$B8,'App9. Data for tables'!$H$67*$B8,'Honeycrisp-Spindle Budget'!$I$24:$I$25))*((1+$C$19)*(1+0.75*$C$20)))-'Honeycrisp-Spindle Budget'!$I$56</f>
        <v>-8106.0229001941698</v>
      </c>
      <c r="F8" s="203">
        <f>$C8*C$17-((SUM('Honeycrisp-Spindle Budget'!$I$10:$I$19,'App9. Data for tables'!$H$59*$B8,'App9. Data for tables'!$H$60*$B8,'App9. Data for tables'!$H$61*$B8,'App9. Data for tables'!$H$67*$B8,'Honeycrisp-Spindle Budget'!$I$24:$I$25))*((1+$C$19)*(1+0.75*$C$20)))-'Honeycrisp-Spindle Budget'!$I$56</f>
        <v>-5306.6629001941692</v>
      </c>
      <c r="G8" s="203">
        <f>$C8*C$18-((SUM('Honeycrisp-Spindle Budget'!$I$10:$I$19,'App9. Data for tables'!$H$59*$B8,'App9. Data for tables'!$H$60*$B8,'App9. Data for tables'!$H$61*$B8,'App9. Data for tables'!$H$67*$B8,'Honeycrisp-Spindle Budget'!$I$24:$I$25))*((1+$C$19)*(1+0.75*$C$20)))-'Honeycrisp-Spindle Budget'!$I$56</f>
        <v>-3440.4229001941712</v>
      </c>
    </row>
    <row r="9" spans="1:15" ht="18" customHeight="1" x14ac:dyDescent="0.25">
      <c r="B9" s="182">
        <v>85</v>
      </c>
      <c r="C9" s="188">
        <f t="shared" si="0"/>
        <v>61.199999999999996</v>
      </c>
      <c r="D9" s="203">
        <f>$C9*C$15-((SUM('Honeycrisp-Spindle Budget'!$I$10:$I$19,'App9. Data for tables'!$H$59*$B9,'App9. Data for tables'!$H$60*$B9,'App9. Data for tables'!$H$61*$B9,'App9. Data for tables'!$H$67*$B9,'Honeycrisp-Spindle Budget'!$I$24:$I$25))*((1+$C$19)*(1+0.75*$C$20)))-'Honeycrisp-Spindle Budget'!$I$56</f>
        <v>-21194.775400194176</v>
      </c>
      <c r="E9" s="203">
        <f>$C9*C$16-((SUM('Honeycrisp-Spindle Budget'!$I$10:$I$19,'App9. Data for tables'!$H$59*$B9,'App9. Data for tables'!$H$60*$B9,'App9. Data for tables'!$H$61*$B9,'App9. Data for tables'!$H$67*$B9,'Honeycrisp-Spindle Budget'!$I$24:$I$25))*((1+$C$19)*(1+0.75*$C$20)))-'Honeycrisp-Spindle Budget'!$I$56</f>
        <v>-7485.9754001941765</v>
      </c>
      <c r="F9" s="203">
        <f>$C9*C$17-((SUM('Honeycrisp-Spindle Budget'!$I$10:$I$19,'App9. Data for tables'!$H$59*$B9,'App9. Data for tables'!$H$60*$B9,'App9. Data for tables'!$H$61*$B9,'App9. Data for tables'!$H$67*$B9,'Honeycrisp-Spindle Budget'!$I$24:$I$25))*((1+$C$19)*(1+0.75*$C$20)))-'Honeycrisp-Spindle Budget'!$I$56</f>
        <v>-4548.3754001941779</v>
      </c>
      <c r="G9" s="203">
        <f>$C9*C$18-((SUM('Honeycrisp-Spindle Budget'!$I$10:$I$19,'App9. Data for tables'!$H$59*$B9,'App9. Data for tables'!$H$60*$B9,'App9. Data for tables'!$H$61*$B9,'App9. Data for tables'!$H$67*$B9,'Honeycrisp-Spindle Budget'!$I$24:$I$25))*((1+$C$19)*(1+0.75*$C$20)))-'Honeycrisp-Spindle Budget'!$I$56</f>
        <v>-2589.9754001941765</v>
      </c>
    </row>
    <row r="10" spans="1:15" ht="18" customHeight="1" x14ac:dyDescent="0.25">
      <c r="B10" s="183">
        <v>89</v>
      </c>
      <c r="C10" s="189">
        <f t="shared" si="0"/>
        <v>64.08</v>
      </c>
      <c r="D10" s="219">
        <f>$C10*C$15-((SUM('Honeycrisp-Spindle Budget'!$I$10:$I$19,'App9. Data for tables'!$H$59*$B10,'App9. Data for tables'!$H$60*$B10,'App9. Data for tables'!$H$61*$B10,'App9. Data for tables'!$H$67*$B10,'Honeycrisp-Spindle Budget'!$I$24:$I$25))*((1+$C$19)*(1+0.75*$C$20)))-'Honeycrisp-Spindle Budget'!$I$56</f>
        <v>-21219.847900194178</v>
      </c>
      <c r="E10" s="219">
        <f>$C10*C$16-((SUM('Honeycrisp-Spindle Budget'!$I$10:$I$19,'App9. Data for tables'!$H$59*$B10,'App9. Data for tables'!$H$60*$B10,'App9. Data for tables'!$H$61*$B10,'App9. Data for tables'!$H$67*$B10,'Honeycrisp-Spindle Budget'!$I$24:$I$25))*((1+$C$19)*(1+0.75*$C$20)))-'Honeycrisp-Spindle Budget'!$I$56</f>
        <v>-6865.9279001941759</v>
      </c>
      <c r="F10" s="219">
        <f>$C10*C$17-((SUM('Honeycrisp-Spindle Budget'!$I$10:$I$19,'App9. Data for tables'!$H$59*$B10,'App9. Data for tables'!$H$60*$B10,'App9. Data for tables'!$H$61*$B10,'App9. Data for tables'!$H$67*$B10,'Honeycrisp-Spindle Budget'!$I$24:$I$25))*((1+$C$19)*(1+0.75*$C$20)))-'Honeycrisp-Spindle Budget'!$I$56</f>
        <v>-3790.0879001941794</v>
      </c>
      <c r="G10" s="219">
        <f>$C10*C$18-((SUM('Honeycrisp-Spindle Budget'!$I$10:$I$19,'App9. Data for tables'!$H$59*$B10,'App9. Data for tables'!$H$60*$B10,'App9. Data for tables'!$H$61*$B10,'App9. Data for tables'!$H$67*$B10,'Honeycrisp-Spindle Budget'!$I$24:$I$25))*((1+$C$19)*(1+0.75*$C$20)))-'Honeycrisp-Spindle Budget'!$I$56</f>
        <v>-1739.5279001941744</v>
      </c>
    </row>
    <row r="11" spans="1:15" s="47" customFormat="1" ht="15" customHeight="1" x14ac:dyDescent="0.3">
      <c r="B11" s="44" t="s">
        <v>118</v>
      </c>
      <c r="C11" s="44"/>
      <c r="D11" s="45"/>
      <c r="E11" s="48"/>
      <c r="F11" s="48"/>
      <c r="G11" s="48"/>
    </row>
    <row r="12" spans="1:15" s="47" customFormat="1" ht="15" customHeight="1" x14ac:dyDescent="0.3">
      <c r="B12" s="44" t="s">
        <v>360</v>
      </c>
      <c r="C12" s="44"/>
      <c r="D12" s="45"/>
      <c r="E12" s="48"/>
      <c r="F12" s="48"/>
      <c r="G12" s="48"/>
    </row>
    <row r="13" spans="1:15" s="47" customFormat="1" ht="15" customHeight="1" x14ac:dyDescent="0.3">
      <c r="B13" s="44" t="s">
        <v>361</v>
      </c>
      <c r="C13" s="44"/>
      <c r="D13" s="45"/>
      <c r="E13" s="48"/>
      <c r="F13" s="48"/>
      <c r="G13" s="48"/>
    </row>
    <row r="14" spans="1:15" s="47" customFormat="1" ht="28.2" customHeight="1" x14ac:dyDescent="0.3">
      <c r="B14" s="329" t="s">
        <v>434</v>
      </c>
      <c r="C14" s="329"/>
      <c r="D14" s="329"/>
      <c r="E14" s="329"/>
      <c r="F14" s="329"/>
      <c r="G14" s="329"/>
    </row>
    <row r="15" spans="1:15" s="47" customFormat="1" ht="15" customHeight="1" x14ac:dyDescent="0.25">
      <c r="B15" s="252" t="s">
        <v>430</v>
      </c>
      <c r="C15" s="254">
        <v>480</v>
      </c>
      <c r="D15" s="45"/>
      <c r="E15" s="48"/>
      <c r="F15" s="48"/>
      <c r="G15" s="48"/>
    </row>
    <row r="16" spans="1:15" s="47" customFormat="1" ht="15" customHeight="1" x14ac:dyDescent="0.25">
      <c r="B16" s="252" t="s">
        <v>431</v>
      </c>
      <c r="C16" s="254">
        <v>704</v>
      </c>
      <c r="D16" s="45"/>
      <c r="E16" s="48"/>
      <c r="F16" s="48"/>
      <c r="G16" s="48"/>
    </row>
    <row r="17" spans="2:8" s="47" customFormat="1" ht="15" customHeight="1" x14ac:dyDescent="0.25">
      <c r="B17" s="252" t="s">
        <v>432</v>
      </c>
      <c r="C17" s="254">
        <v>752</v>
      </c>
      <c r="D17" s="45"/>
      <c r="E17" s="48"/>
      <c r="F17" s="48"/>
      <c r="G17" s="48"/>
    </row>
    <row r="18" spans="2:8" s="47" customFormat="1" ht="15" customHeight="1" x14ac:dyDescent="0.25">
      <c r="B18" s="252" t="s">
        <v>433</v>
      </c>
      <c r="C18" s="254">
        <v>784</v>
      </c>
      <c r="D18" s="45"/>
      <c r="E18" s="48"/>
      <c r="F18" s="48"/>
      <c r="G18" s="48"/>
    </row>
    <row r="19" spans="2:8" s="47" customFormat="1" ht="15" customHeight="1" x14ac:dyDescent="0.25">
      <c r="B19" s="252" t="s">
        <v>64</v>
      </c>
      <c r="C19" s="253">
        <f>'App9. Data for tables'!$H$73</f>
        <v>0.05</v>
      </c>
      <c r="D19" s="45"/>
      <c r="E19" s="48"/>
      <c r="F19" s="48"/>
      <c r="G19" s="48"/>
    </row>
    <row r="20" spans="2:8" s="47" customFormat="1" ht="15" customHeight="1" x14ac:dyDescent="0.25">
      <c r="B20" s="252" t="s">
        <v>65</v>
      </c>
      <c r="C20" s="253">
        <f>'App9. Data for tables'!$H$74</f>
        <v>0.05</v>
      </c>
      <c r="D20" s="45"/>
      <c r="E20" s="48"/>
      <c r="F20" s="48"/>
      <c r="G20" s="48"/>
    </row>
    <row r="21" spans="2:8" s="47" customFormat="1" ht="41.25" customHeight="1" x14ac:dyDescent="0.3">
      <c r="B21" s="327" t="s">
        <v>435</v>
      </c>
      <c r="C21" s="327"/>
      <c r="D21" s="327"/>
      <c r="E21" s="327"/>
      <c r="F21" s="327"/>
      <c r="G21" s="327"/>
    </row>
    <row r="22" spans="2:8" s="47" customFormat="1" ht="30" customHeight="1" x14ac:dyDescent="0.3">
      <c r="B22" s="327" t="s">
        <v>164</v>
      </c>
      <c r="C22" s="327"/>
      <c r="D22" s="327"/>
      <c r="E22" s="327"/>
      <c r="F22" s="327"/>
      <c r="G22" s="327"/>
    </row>
    <row r="23" spans="2:8" s="47" customFormat="1" ht="15" customHeight="1" x14ac:dyDescent="0.3">
      <c r="B23" s="49" t="s">
        <v>353</v>
      </c>
      <c r="C23" s="49"/>
      <c r="D23" s="49"/>
      <c r="E23" s="46">
        <v>0.72</v>
      </c>
    </row>
    <row r="24" spans="2:8" ht="14.4" x14ac:dyDescent="0.3">
      <c r="B24" s="13"/>
      <c r="C24" s="13"/>
      <c r="D24" s="63"/>
      <c r="E24" s="63"/>
      <c r="F24" s="63"/>
      <c r="G24" s="63"/>
    </row>
    <row r="25" spans="2:8" ht="14.4" x14ac:dyDescent="0.3">
      <c r="D25" s="63"/>
      <c r="E25" s="63"/>
      <c r="F25" s="63"/>
      <c r="G25" s="63"/>
      <c r="H25" s="63"/>
    </row>
    <row r="26" spans="2:8" x14ac:dyDescent="0.25">
      <c r="D26" s="29"/>
    </row>
  </sheetData>
  <protectedRanges>
    <protectedRange sqref="C4:C10 C15:C20 D11:D20" name="Price and Yield"/>
    <protectedRange sqref="B4:B10" name="Price and Yield_1"/>
  </protectedRanges>
  <mergeCells count="4">
    <mergeCell ref="B21:G21"/>
    <mergeCell ref="B2:G2"/>
    <mergeCell ref="B22:G22"/>
    <mergeCell ref="B14:G14"/>
  </mergeCells>
  <phoneticPr fontId="18" type="noConversion"/>
  <pageMargins left="0.7" right="0.7" top="0.75" bottom="0.75" header="0.3" footer="0.3"/>
  <pageSetup orientation="portrait" r:id="rId1"/>
  <ignoredErrors>
    <ignoredError sqref="C4:C10" unlockedFormula="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0"/>
  <sheetViews>
    <sheetView workbookViewId="0">
      <selection activeCell="B2" sqref="B2:F2"/>
    </sheetView>
  </sheetViews>
  <sheetFormatPr defaultColWidth="9.109375" defaultRowHeight="13.8" x14ac:dyDescent="0.3"/>
  <cols>
    <col min="1" max="1" width="9.109375" style="56"/>
    <col min="2" max="2" width="36.6640625" style="56" customWidth="1"/>
    <col min="3" max="3" width="14.33203125" style="56" customWidth="1"/>
    <col min="4" max="4" width="19.109375" style="56" customWidth="1"/>
    <col min="5" max="5" width="18.77734375" style="56" customWidth="1"/>
    <col min="6" max="6" width="7.44140625" style="56" customWidth="1"/>
    <col min="7" max="16384" width="9.109375" style="56"/>
  </cols>
  <sheetData>
    <row r="2" spans="2:12" ht="40.200000000000003" customHeight="1" x14ac:dyDescent="0.3">
      <c r="B2" s="330" t="s">
        <v>446</v>
      </c>
      <c r="C2" s="330"/>
      <c r="D2" s="330"/>
      <c r="E2" s="330"/>
      <c r="F2" s="330"/>
    </row>
    <row r="3" spans="2:12" ht="37.200000000000003" customHeight="1" x14ac:dyDescent="0.3">
      <c r="B3" s="257" t="s">
        <v>440</v>
      </c>
      <c r="C3" s="190" t="s">
        <v>231</v>
      </c>
      <c r="D3" s="190" t="s">
        <v>441</v>
      </c>
      <c r="E3" s="190" t="s">
        <v>442</v>
      </c>
      <c r="F3" s="258" t="s">
        <v>123</v>
      </c>
    </row>
    <row r="4" spans="2:12" x14ac:dyDescent="0.3">
      <c r="B4" s="50" t="s">
        <v>436</v>
      </c>
      <c r="C4" s="77">
        <f>'Honeycrisp-Spindle Budget'!$I$28</f>
        <v>30525.616537500002</v>
      </c>
      <c r="D4" s="77">
        <f>C4/$C$8</f>
        <v>652.2567636217949</v>
      </c>
      <c r="E4" s="77">
        <f>D4/$C$9</f>
        <v>43.483784241452994</v>
      </c>
      <c r="F4" s="259" t="s">
        <v>362</v>
      </c>
    </row>
    <row r="5" spans="2:12" ht="16.8" x14ac:dyDescent="0.3">
      <c r="B5" s="50" t="s">
        <v>437</v>
      </c>
      <c r="C5" s="78">
        <f>'Honeycrisp-Spindle Budget'!I34</f>
        <v>31515.616537500002</v>
      </c>
      <c r="D5" s="77">
        <f>C5/$C$8</f>
        <v>673.41060977564109</v>
      </c>
      <c r="E5" s="77">
        <f>D5/$C$9</f>
        <v>44.894040651709403</v>
      </c>
      <c r="F5" s="259" t="s">
        <v>232</v>
      </c>
      <c r="G5" s="55"/>
      <c r="H5" s="55"/>
      <c r="I5" s="55"/>
      <c r="J5" s="55"/>
      <c r="K5" s="55"/>
      <c r="L5" s="55"/>
    </row>
    <row r="6" spans="2:12" x14ac:dyDescent="0.3">
      <c r="B6" s="16" t="s">
        <v>438</v>
      </c>
      <c r="C6" s="78">
        <f>C5+SUM('Honeycrisp-Spindle Budget'!I36:I42)</f>
        <v>33122.911204166667</v>
      </c>
      <c r="D6" s="77">
        <f>C6/$C$8</f>
        <v>707.75451290954425</v>
      </c>
      <c r="E6" s="77">
        <f>D6/$C$9</f>
        <v>47.183634193969617</v>
      </c>
      <c r="F6" s="259" t="s">
        <v>233</v>
      </c>
      <c r="G6" s="55"/>
      <c r="H6" s="55"/>
      <c r="I6" s="55"/>
      <c r="J6" s="55"/>
      <c r="K6" s="55"/>
      <c r="L6" s="55"/>
    </row>
    <row r="7" spans="2:12" ht="17.399999999999999" customHeight="1" x14ac:dyDescent="0.3">
      <c r="B7" s="255" t="s">
        <v>439</v>
      </c>
      <c r="C7" s="256">
        <f>C6+SUM('Honeycrisp-Spindle Budget'!I43:I50,'Honeycrisp-Spindle Budget'!I52:I53)</f>
        <v>43533.412900194162</v>
      </c>
      <c r="D7" s="256">
        <f>C7/$C$8</f>
        <v>930.20113034602912</v>
      </c>
      <c r="E7" s="256">
        <f>D7/$C$9</f>
        <v>62.013408689735272</v>
      </c>
      <c r="F7" s="260" t="s">
        <v>234</v>
      </c>
      <c r="G7" s="55"/>
      <c r="H7" s="55"/>
      <c r="I7" s="55"/>
      <c r="J7" s="55"/>
      <c r="K7" s="55"/>
      <c r="L7" s="55"/>
    </row>
    <row r="8" spans="2:12" x14ac:dyDescent="0.3">
      <c r="B8" s="79" t="s">
        <v>235</v>
      </c>
      <c r="C8" s="80">
        <f>'Honeycrisp-Spindle Budget'!$I$4</f>
        <v>46.8</v>
      </c>
    </row>
    <row r="9" spans="2:12" x14ac:dyDescent="0.3">
      <c r="B9" s="79" t="s">
        <v>364</v>
      </c>
      <c r="C9" s="191">
        <f>'App9. Data for tables'!$H$64</f>
        <v>15</v>
      </c>
    </row>
    <row r="10" spans="2:12" x14ac:dyDescent="0.3">
      <c r="B10" s="79" t="s">
        <v>330</v>
      </c>
    </row>
    <row r="11" spans="2:12" ht="54.75" customHeight="1" x14ac:dyDescent="0.3">
      <c r="B11" s="331" t="s">
        <v>443</v>
      </c>
      <c r="C11" s="331"/>
      <c r="D11" s="331"/>
      <c r="E11" s="331"/>
      <c r="F11" s="331"/>
    </row>
    <row r="12" spans="2:12" ht="18" customHeight="1" x14ac:dyDescent="0.3">
      <c r="B12" s="331" t="s">
        <v>363</v>
      </c>
      <c r="C12" s="331"/>
      <c r="D12" s="331"/>
      <c r="E12" s="331"/>
      <c r="F12" s="331"/>
    </row>
    <row r="13" spans="2:12" ht="45" customHeight="1" x14ac:dyDescent="0.3">
      <c r="B13" s="331" t="s">
        <v>444</v>
      </c>
      <c r="C13" s="331"/>
      <c r="D13" s="331"/>
      <c r="E13" s="331"/>
      <c r="F13" s="331"/>
    </row>
    <row r="14" spans="2:12" ht="18" customHeight="1" x14ac:dyDescent="0.3">
      <c r="B14" s="331" t="s">
        <v>370</v>
      </c>
      <c r="C14" s="331"/>
      <c r="D14" s="331"/>
      <c r="E14" s="331"/>
      <c r="F14" s="331"/>
    </row>
    <row r="15" spans="2:12" ht="18" customHeight="1" x14ac:dyDescent="0.3">
      <c r="B15" s="331" t="s">
        <v>371</v>
      </c>
      <c r="C15" s="331"/>
      <c r="D15" s="331"/>
      <c r="E15" s="331"/>
      <c r="F15" s="331"/>
      <c r="G15" s="55"/>
      <c r="H15" s="55"/>
      <c r="I15" s="55"/>
      <c r="J15" s="55"/>
      <c r="K15" s="55"/>
      <c r="L15" s="55"/>
    </row>
    <row r="16" spans="2:12" ht="33.6" customHeight="1" x14ac:dyDescent="0.3">
      <c r="B16" s="331" t="s">
        <v>445</v>
      </c>
      <c r="C16" s="331"/>
      <c r="D16" s="331"/>
      <c r="E16" s="331"/>
      <c r="F16" s="331"/>
      <c r="G16" s="55"/>
      <c r="H16" s="55"/>
      <c r="I16" s="55"/>
      <c r="J16" s="55"/>
      <c r="K16" s="55"/>
      <c r="L16" s="55"/>
    </row>
    <row r="17" spans="2:12" ht="36.450000000000003" customHeight="1" x14ac:dyDescent="0.3">
      <c r="B17" s="331" t="s">
        <v>372</v>
      </c>
      <c r="C17" s="331"/>
      <c r="D17" s="331"/>
      <c r="E17" s="331"/>
      <c r="F17" s="331"/>
      <c r="G17" s="55"/>
      <c r="H17" s="55"/>
      <c r="I17" s="55"/>
      <c r="J17" s="55"/>
      <c r="K17" s="55"/>
      <c r="L17" s="55"/>
    </row>
    <row r="18" spans="2:12" x14ac:dyDescent="0.3">
      <c r="B18" s="79"/>
    </row>
    <row r="19" spans="2:12" x14ac:dyDescent="0.3">
      <c r="B19" s="81"/>
    </row>
    <row r="20" spans="2:12" x14ac:dyDescent="0.3">
      <c r="B20" s="79"/>
    </row>
  </sheetData>
  <protectedRanges>
    <protectedRange sqref="C8" name="Yield"/>
  </protectedRanges>
  <mergeCells count="8">
    <mergeCell ref="B2:F2"/>
    <mergeCell ref="B17:F17"/>
    <mergeCell ref="B12:F12"/>
    <mergeCell ref="B11:F11"/>
    <mergeCell ref="B13:F13"/>
    <mergeCell ref="B14:F14"/>
    <mergeCell ref="B15:F15"/>
    <mergeCell ref="B16:F1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26"/>
  <sheetViews>
    <sheetView workbookViewId="0">
      <selection activeCell="F11" sqref="F11"/>
    </sheetView>
  </sheetViews>
  <sheetFormatPr defaultColWidth="9.109375" defaultRowHeight="14.4" x14ac:dyDescent="0.3"/>
  <cols>
    <col min="1" max="1" width="6.6640625" style="50" customWidth="1"/>
    <col min="2" max="2" width="26.44140625" style="50" customWidth="1"/>
    <col min="3" max="3" width="13.6640625" style="50" customWidth="1"/>
    <col min="4" max="7" width="12.6640625" style="50" customWidth="1"/>
    <col min="8" max="8" width="12.44140625" style="50" customWidth="1"/>
    <col min="9" max="9" width="3.6640625" style="50" customWidth="1"/>
    <col min="10" max="15" width="9.109375" style="86"/>
    <col min="16" max="16384" width="9.109375" style="50"/>
  </cols>
  <sheetData>
    <row r="2" spans="1:15" ht="42" customHeight="1" x14ac:dyDescent="0.3">
      <c r="B2" s="332" t="s">
        <v>447</v>
      </c>
      <c r="C2" s="332"/>
      <c r="D2" s="332"/>
      <c r="E2" s="332"/>
      <c r="F2" s="332"/>
      <c r="G2" s="332"/>
      <c r="H2" s="332"/>
    </row>
    <row r="3" spans="1:15" ht="69" x14ac:dyDescent="0.3">
      <c r="A3" s="87"/>
      <c r="B3" s="273" t="s">
        <v>448</v>
      </c>
      <c r="C3" s="230" t="s">
        <v>0</v>
      </c>
      <c r="D3" s="230" t="s">
        <v>1</v>
      </c>
      <c r="E3" s="230" t="s">
        <v>2</v>
      </c>
      <c r="F3" s="230" t="s">
        <v>3</v>
      </c>
      <c r="G3" s="230" t="s">
        <v>21</v>
      </c>
      <c r="H3" s="231" t="s">
        <v>407</v>
      </c>
      <c r="J3" s="88"/>
    </row>
    <row r="4" spans="1:15" x14ac:dyDescent="0.25">
      <c r="B4" s="85" t="s">
        <v>334</v>
      </c>
      <c r="C4" s="269">
        <f>'App5. Estab Costs'!$H$4</f>
        <v>540000</v>
      </c>
      <c r="D4" s="268">
        <v>0</v>
      </c>
      <c r="E4" s="268">
        <v>0</v>
      </c>
      <c r="F4" s="268">
        <v>0</v>
      </c>
      <c r="G4" s="268">
        <v>0</v>
      </c>
      <c r="H4" s="268">
        <v>0</v>
      </c>
    </row>
    <row r="5" spans="1:15" x14ac:dyDescent="0.25">
      <c r="B5" s="85" t="s">
        <v>4</v>
      </c>
      <c r="C5" s="269">
        <f>'App5. Estab Costs'!$H$11</f>
        <v>216580</v>
      </c>
      <c r="D5" s="268">
        <v>0</v>
      </c>
      <c r="E5" s="268">
        <v>0</v>
      </c>
      <c r="F5" s="268">
        <v>0</v>
      </c>
      <c r="G5" s="268">
        <v>0</v>
      </c>
      <c r="H5" s="268">
        <v>0</v>
      </c>
    </row>
    <row r="6" spans="1:15" x14ac:dyDescent="0.25">
      <c r="B6" s="64" t="s">
        <v>275</v>
      </c>
      <c r="C6" s="268">
        <v>0</v>
      </c>
      <c r="D6" s="268">
        <v>0</v>
      </c>
      <c r="E6" s="268">
        <v>0</v>
      </c>
      <c r="F6" s="184">
        <f>'App3&amp;4. Int&amp;Dep'!C5</f>
        <v>260000</v>
      </c>
      <c r="G6" s="268">
        <v>0</v>
      </c>
      <c r="H6" s="268">
        <v>0</v>
      </c>
    </row>
    <row r="7" spans="1:15" x14ac:dyDescent="0.25">
      <c r="B7" s="85" t="s">
        <v>5</v>
      </c>
      <c r="C7" s="269">
        <f>'App5. Estab Costs'!$H$12+'App5. Estab Costs'!$H$13</f>
        <v>124800</v>
      </c>
      <c r="D7" s="268">
        <v>0</v>
      </c>
      <c r="E7" s="268">
        <v>0</v>
      </c>
      <c r="F7" s="268">
        <v>0</v>
      </c>
      <c r="G7" s="268">
        <v>0</v>
      </c>
      <c r="H7" s="268">
        <v>0</v>
      </c>
    </row>
    <row r="8" spans="1:15" x14ac:dyDescent="0.25">
      <c r="B8" s="85" t="s">
        <v>6</v>
      </c>
      <c r="C8" s="269">
        <f>'App5. Estab Costs'!$H$14</f>
        <v>23400</v>
      </c>
      <c r="D8" s="268">
        <v>0</v>
      </c>
      <c r="E8" s="268">
        <v>0</v>
      </c>
      <c r="F8" s="268">
        <v>0</v>
      </c>
      <c r="G8" s="268">
        <v>0</v>
      </c>
      <c r="H8" s="268">
        <v>0</v>
      </c>
    </row>
    <row r="9" spans="1:15" x14ac:dyDescent="0.25">
      <c r="B9" s="85" t="s">
        <v>7</v>
      </c>
      <c r="C9" s="269">
        <f>'App5. Estab Costs'!$H$15</f>
        <v>78000</v>
      </c>
      <c r="D9" s="268">
        <v>0</v>
      </c>
      <c r="E9" s="268">
        <v>0</v>
      </c>
      <c r="F9" s="268">
        <v>0</v>
      </c>
      <c r="G9" s="268">
        <v>0</v>
      </c>
      <c r="H9" s="268">
        <v>0</v>
      </c>
    </row>
    <row r="10" spans="1:15" x14ac:dyDescent="0.25">
      <c r="B10" s="85" t="s">
        <v>117</v>
      </c>
      <c r="C10" s="269">
        <f>'App5. Estab Costs'!$H$24</f>
        <v>104411.84</v>
      </c>
      <c r="D10" s="268">
        <v>0</v>
      </c>
      <c r="E10" s="268">
        <v>0</v>
      </c>
      <c r="F10" s="268">
        <v>0</v>
      </c>
      <c r="G10" s="268">
        <v>0</v>
      </c>
      <c r="H10" s="268">
        <v>0</v>
      </c>
    </row>
    <row r="11" spans="1:15" ht="16.8" x14ac:dyDescent="0.3">
      <c r="B11" s="85" t="s">
        <v>166</v>
      </c>
      <c r="C11" s="269">
        <f>('Honeycrisp-Spindle Budget'!D28+'Honeycrisp-Spindle Budget'!D30+'Honeycrisp-Spindle Budget'!D31+'Honeycrisp-Spindle Budget'!D32+'Honeycrisp-Spindle Budget'!D52)*'App9. Data for tables'!$C$78</f>
        <v>641332.40145000012</v>
      </c>
      <c r="D11" s="184">
        <f>('Honeycrisp-Spindle Budget'!E28+'Honeycrisp-Spindle Budget'!E30+'Honeycrisp-Spindle Budget'!E31+'Honeycrisp-Spindle Budget'!E32+'Honeycrisp-Spindle Budget'!E52)*'App9. Data for tables'!$D$78</f>
        <v>153349.4742</v>
      </c>
      <c r="E11" s="185">
        <f>('Honeycrisp-Spindle Budget'!F28+'Honeycrisp-Spindle Budget'!F30+'Honeycrisp-Spindle Budget'!F31+'Honeycrisp-Spindle Budget'!F32+'Honeycrisp-Spindle Budget'!F52)*'App9. Data for tables'!$E$78</f>
        <v>220040.60324999999</v>
      </c>
      <c r="F11" s="184">
        <f>('Honeycrisp-Spindle Budget'!G28+'Honeycrisp-Spindle Budget'!G30+'Honeycrisp-Spindle Budget'!G31+'Honeycrisp-Spindle Budget'!G32+'Honeycrisp-Spindle Budget'!G52)*'App9. Data for tables'!$F$78</f>
        <v>533979.68325</v>
      </c>
      <c r="G11" s="184">
        <f>('Honeycrisp-Spindle Budget'!H28+'Honeycrisp-Spindle Budget'!H30+'Honeycrisp-Spindle Budget'!H31+'Honeycrisp-Spindle Budget'!H32+'Honeycrisp-Spindle Budget'!H52)*'App9. Data for tables'!$G$78</f>
        <v>714038.88074999989</v>
      </c>
      <c r="H11" s="184">
        <f>('Honeycrisp-Spindle Budget'!I28+'Honeycrisp-Spindle Budget'!I30+'Honeycrisp-Spindle Budget'!I31+'Honeycrisp-Spindle Budget'!I32+'Honeycrisp-Spindle Budget'!I52)*'App9. Data for tables'!$H$78</f>
        <v>838906.02997500007</v>
      </c>
    </row>
    <row r="12" spans="1:15" x14ac:dyDescent="0.3">
      <c r="B12" s="89" t="s">
        <v>106</v>
      </c>
      <c r="C12" s="270">
        <f t="shared" ref="C12:H12" si="0">SUM(C4:C11)</f>
        <v>1728524.2414500001</v>
      </c>
      <c r="D12" s="186">
        <f t="shared" si="0"/>
        <v>153349.4742</v>
      </c>
      <c r="E12" s="187">
        <f t="shared" si="0"/>
        <v>220040.60324999999</v>
      </c>
      <c r="F12" s="186">
        <f t="shared" si="0"/>
        <v>793979.68325</v>
      </c>
      <c r="G12" s="186">
        <f t="shared" si="0"/>
        <v>714038.88074999989</v>
      </c>
      <c r="H12" s="186">
        <f t="shared" si="0"/>
        <v>838906.02997500007</v>
      </c>
    </row>
    <row r="13" spans="1:15" s="1" customFormat="1" ht="36" customHeight="1" x14ac:dyDescent="0.3">
      <c r="B13" s="261" t="s">
        <v>107</v>
      </c>
      <c r="C13" s="271">
        <f>'Honeycrisp-Spindle Budget'!D7*'App9. Data for tables'!$C$78</f>
        <v>0</v>
      </c>
      <c r="D13" s="262">
        <f>'Honeycrisp-Spindle Budget'!E7*'App9. Data for tables'!$D$78</f>
        <v>0</v>
      </c>
      <c r="E13" s="263">
        <f>'Honeycrisp-Spindle Budget'!F7*'App9. Data for tables'!$E$78</f>
        <v>0</v>
      </c>
      <c r="F13" s="262">
        <f>'Honeycrisp-Spindle Budget'!G7*'App9. Data for tables'!$F$78</f>
        <v>223080</v>
      </c>
      <c r="G13" s="262">
        <f>'Honeycrisp-Spindle Budget'!H7*'App9. Data for tables'!$G$78</f>
        <v>642470.39999999991</v>
      </c>
      <c r="H13" s="262">
        <f>'Honeycrisp-Spindle Budget'!I7*'App9. Data for tables'!$H$78</f>
        <v>803087.99999999988</v>
      </c>
      <c r="J13" s="264"/>
      <c r="K13" s="264"/>
      <c r="L13" s="264"/>
      <c r="M13" s="264"/>
      <c r="N13" s="264"/>
      <c r="O13" s="264"/>
    </row>
    <row r="14" spans="1:15" s="1" customFormat="1" ht="36" customHeight="1" x14ac:dyDescent="0.3">
      <c r="B14" s="265" t="s">
        <v>108</v>
      </c>
      <c r="C14" s="272">
        <f t="shared" ref="C14:H14" si="1">C12-C13</f>
        <v>1728524.2414500001</v>
      </c>
      <c r="D14" s="266">
        <f t="shared" si="1"/>
        <v>153349.4742</v>
      </c>
      <c r="E14" s="267">
        <f t="shared" si="1"/>
        <v>220040.60324999999</v>
      </c>
      <c r="F14" s="266">
        <f t="shared" si="1"/>
        <v>570899.68325</v>
      </c>
      <c r="G14" s="266">
        <f t="shared" si="1"/>
        <v>71568.480749999988</v>
      </c>
      <c r="H14" s="266">
        <f t="shared" si="1"/>
        <v>35818.029975000187</v>
      </c>
      <c r="J14" s="264"/>
      <c r="K14" s="264"/>
      <c r="L14" s="264"/>
      <c r="M14" s="264"/>
      <c r="N14" s="264"/>
      <c r="O14" s="264"/>
    </row>
    <row r="15" spans="1:15" x14ac:dyDescent="0.3">
      <c r="B15" s="90" t="s">
        <v>118</v>
      </c>
    </row>
    <row r="16" spans="1:15" ht="15.6" x14ac:dyDescent="0.3">
      <c r="B16" s="43" t="s">
        <v>276</v>
      </c>
    </row>
    <row r="17" spans="2:9" x14ac:dyDescent="0.3">
      <c r="B17" s="43" t="s">
        <v>167</v>
      </c>
      <c r="F17" s="91"/>
      <c r="G17" s="91"/>
      <c r="H17" s="91"/>
    </row>
    <row r="18" spans="2:9" x14ac:dyDescent="0.3">
      <c r="C18" s="42"/>
      <c r="D18" s="42"/>
      <c r="E18" s="42"/>
      <c r="F18" s="42"/>
      <c r="G18" s="42"/>
      <c r="H18" s="42"/>
      <c r="I18" s="42"/>
    </row>
    <row r="19" spans="2:9" x14ac:dyDescent="0.3">
      <c r="F19" s="91"/>
      <c r="G19" s="91"/>
      <c r="H19" s="91"/>
    </row>
    <row r="20" spans="2:9" x14ac:dyDescent="0.3">
      <c r="F20" s="91"/>
      <c r="G20" s="91"/>
      <c r="H20" s="91"/>
    </row>
    <row r="21" spans="2:9" x14ac:dyDescent="0.3">
      <c r="F21" s="91"/>
      <c r="G21" s="91"/>
      <c r="H21" s="91"/>
    </row>
    <row r="22" spans="2:9" x14ac:dyDescent="0.3">
      <c r="F22" s="91"/>
      <c r="G22" s="91"/>
      <c r="H22" s="91"/>
    </row>
    <row r="23" spans="2:9" x14ac:dyDescent="0.3">
      <c r="F23" s="91"/>
      <c r="G23" s="91"/>
      <c r="H23" s="91"/>
    </row>
    <row r="24" spans="2:9" x14ac:dyDescent="0.3">
      <c r="F24" s="91"/>
      <c r="G24" s="91"/>
      <c r="H24" s="91"/>
    </row>
    <row r="25" spans="2:9" x14ac:dyDescent="0.3">
      <c r="F25" s="91"/>
      <c r="G25" s="91"/>
      <c r="H25" s="91"/>
    </row>
    <row r="26" spans="2:9" x14ac:dyDescent="0.3">
      <c r="F26" s="91"/>
      <c r="G26" s="91"/>
      <c r="H26" s="91"/>
    </row>
  </sheetData>
  <mergeCells count="1">
    <mergeCell ref="B2:H2"/>
  </mergeCells>
  <phoneticPr fontId="18" type="noConversion"/>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G28"/>
  <sheetViews>
    <sheetView workbookViewId="0">
      <selection activeCell="B2" sqref="B2:F2"/>
    </sheetView>
  </sheetViews>
  <sheetFormatPr defaultColWidth="9.109375" defaultRowHeight="14.4" x14ac:dyDescent="0.3"/>
  <cols>
    <col min="1" max="1" width="9.109375" style="4"/>
    <col min="2" max="2" width="32" style="2" customWidth="1"/>
    <col min="3" max="3" width="16.33203125" style="2" customWidth="1"/>
    <col min="4" max="6" width="16.6640625" style="2" customWidth="1"/>
    <col min="7" max="7" width="9.109375" style="2"/>
    <col min="8" max="16384" width="9.109375" style="4"/>
  </cols>
  <sheetData>
    <row r="2" spans="2:7" ht="40.200000000000003" customHeight="1" x14ac:dyDescent="0.3">
      <c r="B2" s="333" t="s">
        <v>449</v>
      </c>
      <c r="C2" s="333"/>
      <c r="D2" s="333"/>
      <c r="E2" s="333"/>
      <c r="F2" s="333"/>
      <c r="G2" s="3"/>
    </row>
    <row r="3" spans="2:7" ht="30.6" x14ac:dyDescent="0.3">
      <c r="B3" s="274" t="s">
        <v>450</v>
      </c>
      <c r="C3" s="274" t="s">
        <v>280</v>
      </c>
      <c r="D3" s="221" t="s">
        <v>168</v>
      </c>
      <c r="E3" s="221" t="s">
        <v>48</v>
      </c>
      <c r="F3" s="221" t="s">
        <v>115</v>
      </c>
      <c r="G3" s="1"/>
    </row>
    <row r="4" spans="2:7" x14ac:dyDescent="0.3">
      <c r="B4" s="36" t="s">
        <v>156</v>
      </c>
      <c r="C4" s="36"/>
      <c r="D4" s="22">
        <v>150000</v>
      </c>
      <c r="E4" s="23">
        <v>1</v>
      </c>
      <c r="F4" s="5">
        <f t="shared" ref="F4:F15" si="0">D4*E4</f>
        <v>150000</v>
      </c>
      <c r="G4" s="1"/>
    </row>
    <row r="5" spans="2:7" ht="17.399999999999999" x14ac:dyDescent="0.3">
      <c r="B5" s="36" t="s">
        <v>170</v>
      </c>
      <c r="C5" s="36"/>
      <c r="D5" s="22">
        <v>150000</v>
      </c>
      <c r="E5" s="23">
        <v>1</v>
      </c>
      <c r="F5" s="5">
        <f t="shared" si="0"/>
        <v>150000</v>
      </c>
      <c r="G5" s="1"/>
    </row>
    <row r="6" spans="2:7" x14ac:dyDescent="0.3">
      <c r="B6" s="36" t="s">
        <v>49</v>
      </c>
      <c r="C6" s="36" t="s">
        <v>281</v>
      </c>
      <c r="D6" s="22">
        <v>50000</v>
      </c>
      <c r="E6" s="23">
        <v>5</v>
      </c>
      <c r="F6" s="5">
        <f t="shared" si="0"/>
        <v>250000</v>
      </c>
      <c r="G6" s="1"/>
    </row>
    <row r="7" spans="2:7" x14ac:dyDescent="0.3">
      <c r="B7" s="36" t="s">
        <v>50</v>
      </c>
      <c r="C7" s="36" t="s">
        <v>282</v>
      </c>
      <c r="D7" s="22">
        <v>27500</v>
      </c>
      <c r="E7" s="23">
        <v>2</v>
      </c>
      <c r="F7" s="5">
        <f t="shared" si="0"/>
        <v>55000</v>
      </c>
      <c r="G7" s="1"/>
    </row>
    <row r="8" spans="2:7" x14ac:dyDescent="0.3">
      <c r="B8" s="36" t="s">
        <v>171</v>
      </c>
      <c r="C8" s="36" t="s">
        <v>283</v>
      </c>
      <c r="D8" s="22">
        <v>8000</v>
      </c>
      <c r="E8" s="23">
        <v>3</v>
      </c>
      <c r="F8" s="5">
        <f t="shared" si="0"/>
        <v>24000</v>
      </c>
      <c r="G8" s="1"/>
    </row>
    <row r="9" spans="2:7" x14ac:dyDescent="0.3">
      <c r="B9" s="36" t="s">
        <v>157</v>
      </c>
      <c r="C9" s="36"/>
      <c r="D9" s="22">
        <v>30000</v>
      </c>
      <c r="E9" s="23">
        <v>5</v>
      </c>
      <c r="F9" s="5">
        <f t="shared" si="0"/>
        <v>150000</v>
      </c>
      <c r="G9" s="1"/>
    </row>
    <row r="10" spans="2:7" x14ac:dyDescent="0.3">
      <c r="B10" s="36" t="s">
        <v>158</v>
      </c>
      <c r="C10" s="36"/>
      <c r="D10" s="22">
        <v>7000</v>
      </c>
      <c r="E10" s="23">
        <v>1</v>
      </c>
      <c r="F10" s="5">
        <f t="shared" si="0"/>
        <v>7000</v>
      </c>
      <c r="G10" s="1"/>
    </row>
    <row r="11" spans="2:7" x14ac:dyDescent="0.3">
      <c r="B11" s="36" t="s">
        <v>286</v>
      </c>
      <c r="C11" s="36" t="s">
        <v>284</v>
      </c>
      <c r="D11" s="22">
        <v>7500</v>
      </c>
      <c r="E11" s="23">
        <v>1</v>
      </c>
      <c r="F11" s="5">
        <f t="shared" si="0"/>
        <v>7500</v>
      </c>
      <c r="G11" s="1"/>
    </row>
    <row r="12" spans="2:7" x14ac:dyDescent="0.3">
      <c r="B12" s="36" t="s">
        <v>159</v>
      </c>
      <c r="C12" s="36"/>
      <c r="D12" s="22">
        <v>9000</v>
      </c>
      <c r="E12" s="23">
        <v>1</v>
      </c>
      <c r="F12" s="5">
        <f t="shared" si="0"/>
        <v>9000</v>
      </c>
      <c r="G12" s="1"/>
    </row>
    <row r="13" spans="2:7" x14ac:dyDescent="0.3">
      <c r="B13" s="36" t="s">
        <v>160</v>
      </c>
      <c r="C13" s="36"/>
      <c r="D13" s="22">
        <v>30000</v>
      </c>
      <c r="E13" s="23">
        <v>2</v>
      </c>
      <c r="F13" s="5">
        <f>D13*E13</f>
        <v>60000</v>
      </c>
      <c r="G13" s="1"/>
    </row>
    <row r="14" spans="2:7" x14ac:dyDescent="0.3">
      <c r="B14" s="37" t="s">
        <v>161</v>
      </c>
      <c r="C14" s="37"/>
      <c r="D14" s="22">
        <v>7500</v>
      </c>
      <c r="E14" s="23">
        <v>3</v>
      </c>
      <c r="F14" s="5">
        <f t="shared" si="0"/>
        <v>22500</v>
      </c>
      <c r="G14" s="1"/>
    </row>
    <row r="15" spans="2:7" x14ac:dyDescent="0.3">
      <c r="B15" s="37" t="s">
        <v>172</v>
      </c>
      <c r="C15" s="37" t="s">
        <v>287</v>
      </c>
      <c r="D15" s="22">
        <v>45000</v>
      </c>
      <c r="E15" s="23">
        <v>1</v>
      </c>
      <c r="F15" s="5">
        <f t="shared" si="0"/>
        <v>45000</v>
      </c>
      <c r="G15" s="1"/>
    </row>
    <row r="16" spans="2:7" x14ac:dyDescent="0.3">
      <c r="B16" s="37" t="s">
        <v>288</v>
      </c>
      <c r="C16" s="37" t="s">
        <v>285</v>
      </c>
      <c r="D16" s="22">
        <v>130</v>
      </c>
      <c r="E16" s="23">
        <v>100</v>
      </c>
      <c r="F16" s="5">
        <f>D16*E16</f>
        <v>13000</v>
      </c>
      <c r="G16" s="1"/>
    </row>
    <row r="17" spans="2:7" x14ac:dyDescent="0.3">
      <c r="B17" s="37" t="s">
        <v>219</v>
      </c>
      <c r="C17" s="37"/>
      <c r="D17" s="22">
        <v>60000</v>
      </c>
      <c r="E17" s="23">
        <v>3</v>
      </c>
      <c r="F17" s="5">
        <f>D17*E17</f>
        <v>180000</v>
      </c>
      <c r="G17" s="1"/>
    </row>
    <row r="18" spans="2:7" ht="17.399999999999999" x14ac:dyDescent="0.3">
      <c r="B18" s="37" t="s">
        <v>173</v>
      </c>
      <c r="C18" s="37"/>
      <c r="D18" s="22">
        <v>50000</v>
      </c>
      <c r="E18" s="23">
        <v>1</v>
      </c>
      <c r="F18" s="5">
        <f>D18*E18</f>
        <v>50000</v>
      </c>
      <c r="G18" s="1"/>
    </row>
    <row r="19" spans="2:7" ht="18" thickBot="1" x14ac:dyDescent="0.35">
      <c r="B19" s="37" t="s">
        <v>174</v>
      </c>
      <c r="C19" s="37"/>
      <c r="D19" s="22">
        <v>15000</v>
      </c>
      <c r="E19" s="23">
        <v>1</v>
      </c>
      <c r="F19" s="21">
        <f>D19*E19</f>
        <v>15000</v>
      </c>
      <c r="G19" s="1"/>
    </row>
    <row r="20" spans="2:7" ht="15" thickTop="1" x14ac:dyDescent="0.3">
      <c r="B20" s="34" t="s">
        <v>36</v>
      </c>
      <c r="C20" s="108"/>
      <c r="D20" s="38"/>
      <c r="E20" s="39"/>
      <c r="F20" s="35">
        <f>SUM(F4:F19)</f>
        <v>1188000</v>
      </c>
      <c r="G20" s="1"/>
    </row>
    <row r="21" spans="2:7" x14ac:dyDescent="0.3">
      <c r="B21" s="13" t="s">
        <v>133</v>
      </c>
      <c r="C21" s="13"/>
      <c r="D21" s="1"/>
      <c r="E21" s="1"/>
      <c r="F21" s="1"/>
      <c r="G21" s="1"/>
    </row>
    <row r="22" spans="2:7" s="51" customFormat="1" ht="28.95" customHeight="1" x14ac:dyDescent="0.3">
      <c r="B22" s="327" t="s">
        <v>289</v>
      </c>
      <c r="C22" s="327"/>
      <c r="D22" s="327"/>
      <c r="E22" s="327"/>
      <c r="F22" s="327"/>
      <c r="G22" s="50"/>
    </row>
    <row r="23" spans="2:7" s="51" customFormat="1" x14ac:dyDescent="0.3">
      <c r="B23" s="43" t="s">
        <v>169</v>
      </c>
      <c r="C23" s="43"/>
      <c r="D23" s="50"/>
      <c r="E23" s="50"/>
      <c r="F23" s="50"/>
      <c r="G23" s="50"/>
    </row>
    <row r="24" spans="2:7" s="51" customFormat="1" ht="29.4" customHeight="1" x14ac:dyDescent="0.3">
      <c r="B24" s="327" t="s">
        <v>175</v>
      </c>
      <c r="C24" s="327"/>
      <c r="D24" s="327"/>
      <c r="E24" s="327"/>
      <c r="F24" s="327"/>
      <c r="G24" s="50"/>
    </row>
    <row r="25" spans="2:7" s="51" customFormat="1" ht="30.6" customHeight="1" x14ac:dyDescent="0.3">
      <c r="B25" s="327" t="s">
        <v>176</v>
      </c>
      <c r="C25" s="327"/>
      <c r="D25" s="327"/>
      <c r="E25" s="327"/>
      <c r="F25" s="327"/>
      <c r="G25" s="50"/>
    </row>
    <row r="26" spans="2:7" s="51" customFormat="1" x14ac:dyDescent="0.3">
      <c r="B26" s="43" t="s">
        <v>177</v>
      </c>
      <c r="C26" s="43"/>
      <c r="D26" s="50"/>
      <c r="E26" s="50"/>
      <c r="F26" s="50"/>
      <c r="G26" s="50"/>
    </row>
    <row r="28" spans="2:7" x14ac:dyDescent="0.3">
      <c r="B28" s="4"/>
      <c r="C28" s="4"/>
    </row>
  </sheetData>
  <protectedRanges>
    <protectedRange sqref="D4:E19" name="Price and No. of Units_1"/>
  </protectedRanges>
  <mergeCells count="4">
    <mergeCell ref="B2:F2"/>
    <mergeCell ref="B22:F22"/>
    <mergeCell ref="B24:F24"/>
    <mergeCell ref="B25:F25"/>
  </mergeCells>
  <phoneticPr fontId="18" type="noConversion"/>
  <pageMargins left="0.7" right="0.7" top="0.75" bottom="0.75" header="0.3" footer="0.3"/>
  <pageSetup scale="84" orientation="portrait" horizontalDpi="4294967293" verticalDpi="4294967293"/>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31"/>
  <sheetViews>
    <sheetView workbookViewId="0">
      <selection activeCell="B2" sqref="B2:G2"/>
    </sheetView>
  </sheetViews>
  <sheetFormatPr defaultColWidth="9.109375" defaultRowHeight="13.8" x14ac:dyDescent="0.3"/>
  <cols>
    <col min="1" max="1" width="6.6640625" style="52" customWidth="1"/>
    <col min="2" max="2" width="31.6640625" style="52" customWidth="1"/>
    <col min="3" max="3" width="14" style="52" customWidth="1"/>
    <col min="4" max="4" width="14.44140625" style="52" customWidth="1"/>
    <col min="5" max="5" width="14" style="52" customWidth="1"/>
    <col min="6" max="6" width="14.44140625" style="52" customWidth="1"/>
    <col min="7" max="7" width="17.6640625" style="52" customWidth="1"/>
    <col min="8" max="8" width="5.109375" style="52" customWidth="1"/>
    <col min="9" max="9" width="9.109375" style="52"/>
    <col min="10" max="10" width="10.44140625" style="52" bestFit="1" customWidth="1"/>
    <col min="11" max="16384" width="9.109375" style="52"/>
  </cols>
  <sheetData>
    <row r="2" spans="2:8" ht="39.75" customHeight="1" x14ac:dyDescent="0.3">
      <c r="B2" s="332" t="s">
        <v>451</v>
      </c>
      <c r="C2" s="332"/>
      <c r="D2" s="332"/>
      <c r="E2" s="332"/>
      <c r="F2" s="332"/>
      <c r="G2" s="332"/>
      <c r="H2" s="82"/>
    </row>
    <row r="3" spans="2:8" s="56" customFormat="1" ht="30.6" x14ac:dyDescent="0.3">
      <c r="B3" s="275" t="s">
        <v>452</v>
      </c>
      <c r="C3" s="276" t="s">
        <v>30</v>
      </c>
      <c r="D3" s="276" t="s">
        <v>184</v>
      </c>
      <c r="E3" s="276" t="s">
        <v>24</v>
      </c>
      <c r="F3" s="276" t="s">
        <v>31</v>
      </c>
      <c r="G3" s="276" t="s">
        <v>185</v>
      </c>
    </row>
    <row r="4" spans="2:8" ht="16.8" x14ac:dyDescent="0.25">
      <c r="B4" s="50" t="s">
        <v>178</v>
      </c>
      <c r="C4" s="92">
        <f>'App5. Estab Costs'!$H$12+'App5. Estab Costs'!$H$13</f>
        <v>124800</v>
      </c>
      <c r="D4" s="92">
        <v>0</v>
      </c>
      <c r="E4" s="92">
        <f>'App9. Data for tables'!$H$78</f>
        <v>26</v>
      </c>
      <c r="F4" s="93">
        <f>((C4+D4)/2)*$C$13</f>
        <v>3120</v>
      </c>
      <c r="G4" s="93">
        <f>F4/E4</f>
        <v>120</v>
      </c>
      <c r="H4" s="83"/>
    </row>
    <row r="5" spans="2:8" ht="16.8" x14ac:dyDescent="0.25">
      <c r="B5" s="106" t="s">
        <v>274</v>
      </c>
      <c r="C5" s="92">
        <f>'App9. Data for tables'!$F$21*'App9. Data for tables'!$F$78</f>
        <v>260000</v>
      </c>
      <c r="D5" s="92">
        <v>0</v>
      </c>
      <c r="E5" s="92">
        <f>'App9. Data for tables'!$H$78</f>
        <v>26</v>
      </c>
      <c r="F5" s="93">
        <f>((C5+D5)/2)*$C$13</f>
        <v>6500</v>
      </c>
      <c r="G5" s="93">
        <f>F5/E5</f>
        <v>250</v>
      </c>
      <c r="H5" s="83"/>
    </row>
    <row r="6" spans="2:8" x14ac:dyDescent="0.25">
      <c r="B6" s="59" t="s">
        <v>13</v>
      </c>
      <c r="C6" s="92">
        <f>'App5. Estab Costs'!$H$4</f>
        <v>540000</v>
      </c>
      <c r="D6" s="92" t="s">
        <v>143</v>
      </c>
      <c r="E6" s="92">
        <f>'App9. Data for tables'!$H$77</f>
        <v>27</v>
      </c>
      <c r="F6" s="93">
        <f>C6*$C$13</f>
        <v>27000</v>
      </c>
      <c r="G6" s="93">
        <f>F6/E6</f>
        <v>1000</v>
      </c>
    </row>
    <row r="7" spans="2:8" ht="16.8" x14ac:dyDescent="0.25">
      <c r="B7" s="50" t="s">
        <v>179</v>
      </c>
      <c r="C7" s="92">
        <f>'App2. Mach Etc Req'!$F$20</f>
        <v>1188000</v>
      </c>
      <c r="D7" s="92">
        <f>'App7. Salv Value &amp; Dep Calc'!F20</f>
        <v>88800</v>
      </c>
      <c r="E7" s="92">
        <f>'App9. Data for tables'!$H$80</f>
        <v>300</v>
      </c>
      <c r="F7" s="93">
        <f>((C7+D7)/2)*$C$13</f>
        <v>31920</v>
      </c>
      <c r="G7" s="93">
        <f>F7/E7</f>
        <v>106.4</v>
      </c>
    </row>
    <row r="8" spans="2:8" ht="16.8" x14ac:dyDescent="0.25">
      <c r="B8" s="56" t="s">
        <v>180</v>
      </c>
      <c r="C8" s="93">
        <f>'App5. Estab Costs'!$H$14</f>
        <v>23400</v>
      </c>
      <c r="D8" s="94">
        <v>0</v>
      </c>
      <c r="E8" s="92">
        <f>'App9. Data for tables'!$H$78</f>
        <v>26</v>
      </c>
      <c r="F8" s="93">
        <f>((C8+D8)/2)*$C$13</f>
        <v>585</v>
      </c>
      <c r="G8" s="93">
        <f t="shared" ref="G8:G10" si="0">F8/E8</f>
        <v>22.5</v>
      </c>
    </row>
    <row r="9" spans="2:8" ht="16.8" x14ac:dyDescent="0.25">
      <c r="B9" s="50" t="s">
        <v>181</v>
      </c>
      <c r="C9" s="92">
        <f>'App5. Estab Costs'!$H$15</f>
        <v>78000</v>
      </c>
      <c r="D9" s="92">
        <v>0</v>
      </c>
      <c r="E9" s="92">
        <f>'App9. Data for tables'!$H$78</f>
        <v>26</v>
      </c>
      <c r="F9" s="93">
        <f>((C9+D9)/2)*$C$13</f>
        <v>1950</v>
      </c>
      <c r="G9" s="93">
        <f t="shared" si="0"/>
        <v>75</v>
      </c>
    </row>
    <row r="10" spans="2:8" ht="16.8" x14ac:dyDescent="0.25">
      <c r="B10" s="56" t="s">
        <v>182</v>
      </c>
      <c r="C10" s="93">
        <f>'App5. Estab Costs'!$H$11</f>
        <v>216580</v>
      </c>
      <c r="D10" s="94">
        <v>0</v>
      </c>
      <c r="E10" s="92">
        <f>'App9. Data for tables'!$H$78</f>
        <v>26</v>
      </c>
      <c r="F10" s="93">
        <f>((C10+D10)/2)*$C$13</f>
        <v>5414.5</v>
      </c>
      <c r="G10" s="93">
        <f t="shared" si="0"/>
        <v>208.25</v>
      </c>
    </row>
    <row r="11" spans="2:8" ht="16.8" x14ac:dyDescent="0.25">
      <c r="B11" s="84" t="s">
        <v>183</v>
      </c>
      <c r="C11" s="95">
        <f>'App5. Estab Costs'!$H$24</f>
        <v>104411.84</v>
      </c>
      <c r="D11" s="95">
        <v>0</v>
      </c>
      <c r="E11" s="280">
        <f>'App9. Data for tables'!$H$78</f>
        <v>26</v>
      </c>
      <c r="F11" s="96">
        <f>((C11+D11)/2)*$C$13</f>
        <v>2610.2960000000003</v>
      </c>
      <c r="G11" s="96">
        <f>F11/E11</f>
        <v>100.39600000000002</v>
      </c>
    </row>
    <row r="12" spans="2:8" x14ac:dyDescent="0.3">
      <c r="B12" s="79" t="s">
        <v>118</v>
      </c>
    </row>
    <row r="13" spans="2:8" x14ac:dyDescent="0.3">
      <c r="B13" s="79" t="s">
        <v>453</v>
      </c>
      <c r="C13" s="277">
        <f>'App9. Data for tables'!$C$74</f>
        <v>0.05</v>
      </c>
    </row>
    <row r="14" spans="2:8" x14ac:dyDescent="0.3">
      <c r="B14" s="79" t="s">
        <v>186</v>
      </c>
      <c r="C14" s="278"/>
      <c r="G14" s="279"/>
    </row>
    <row r="15" spans="2:8" s="56" customFormat="1" ht="28.2" customHeight="1" x14ac:dyDescent="0.3">
      <c r="B15" s="331" t="s">
        <v>187</v>
      </c>
      <c r="C15" s="331"/>
      <c r="D15" s="331"/>
      <c r="E15" s="331"/>
      <c r="F15" s="331"/>
      <c r="G15" s="331"/>
    </row>
    <row r="16" spans="2:8" s="56" customFormat="1" ht="29.4" customHeight="1" x14ac:dyDescent="0.3">
      <c r="B16" s="331" t="s">
        <v>402</v>
      </c>
      <c r="C16" s="331"/>
      <c r="D16" s="331"/>
      <c r="E16" s="331"/>
      <c r="F16" s="331"/>
      <c r="G16" s="331"/>
    </row>
    <row r="17" spans="2:7" s="56" customFormat="1" ht="31.2" customHeight="1" x14ac:dyDescent="0.3">
      <c r="B17" s="331" t="s">
        <v>188</v>
      </c>
      <c r="C17" s="331"/>
      <c r="D17" s="331"/>
      <c r="E17" s="331"/>
      <c r="F17" s="331"/>
      <c r="G17" s="331"/>
    </row>
    <row r="18" spans="2:7" s="56" customFormat="1" ht="19.95" customHeight="1" x14ac:dyDescent="0.3">
      <c r="B18" s="335" t="s">
        <v>455</v>
      </c>
      <c r="C18" s="335"/>
      <c r="D18" s="335"/>
      <c r="E18" s="335"/>
      <c r="F18" s="335"/>
      <c r="G18" s="335"/>
    </row>
    <row r="19" spans="2:7" ht="23.7" customHeight="1" x14ac:dyDescent="0.3"/>
    <row r="20" spans="2:7" ht="40.5" customHeight="1" x14ac:dyDescent="0.3">
      <c r="B20" s="333" t="s">
        <v>454</v>
      </c>
      <c r="C20" s="333"/>
      <c r="D20" s="333"/>
      <c r="E20" s="333"/>
      <c r="F20" s="333"/>
      <c r="G20" s="333"/>
    </row>
    <row r="21" spans="2:7" s="56" customFormat="1" ht="40.200000000000003" customHeight="1" x14ac:dyDescent="0.3">
      <c r="B21" s="275" t="s">
        <v>452</v>
      </c>
      <c r="C21" s="276" t="s">
        <v>30</v>
      </c>
      <c r="D21" s="276" t="s">
        <v>24</v>
      </c>
      <c r="E21" s="276" t="s">
        <v>32</v>
      </c>
      <c r="F21" s="276" t="s">
        <v>136</v>
      </c>
      <c r="G21" s="276" t="s">
        <v>189</v>
      </c>
    </row>
    <row r="22" spans="2:7" x14ac:dyDescent="0.25">
      <c r="B22" s="50" t="s">
        <v>5</v>
      </c>
      <c r="C22" s="93">
        <f>C4</f>
        <v>124800</v>
      </c>
      <c r="D22" s="92">
        <f>'App9. Data for tables'!$H$78</f>
        <v>26</v>
      </c>
      <c r="E22" s="93">
        <f>C22/D22</f>
        <v>4800</v>
      </c>
      <c r="F22" s="97">
        <v>30</v>
      </c>
      <c r="G22" s="93">
        <f>(E22-D4)/F22</f>
        <v>160</v>
      </c>
    </row>
    <row r="23" spans="2:7" x14ac:dyDescent="0.25">
      <c r="B23" s="16" t="s">
        <v>275</v>
      </c>
      <c r="C23" s="93">
        <f>C5</f>
        <v>260000</v>
      </c>
      <c r="D23" s="92">
        <f>'App9. Data for tables'!$H$78</f>
        <v>26</v>
      </c>
      <c r="E23" s="93">
        <f>C23/D23</f>
        <v>10000</v>
      </c>
      <c r="F23" s="97">
        <v>20</v>
      </c>
      <c r="G23" s="93">
        <f>(E23-D5)/F23</f>
        <v>500</v>
      </c>
    </row>
    <row r="24" spans="2:7" x14ac:dyDescent="0.25">
      <c r="B24" s="56" t="s">
        <v>6</v>
      </c>
      <c r="C24" s="93">
        <f>C8</f>
        <v>23400</v>
      </c>
      <c r="D24" s="92">
        <f>'App9. Data for tables'!$H$78</f>
        <v>26</v>
      </c>
      <c r="E24" s="93">
        <f t="shared" ref="E24:E27" si="1">C24/D24</f>
        <v>900</v>
      </c>
      <c r="F24" s="97">
        <v>30</v>
      </c>
      <c r="G24" s="93">
        <f>(E24-D8)/F24</f>
        <v>30</v>
      </c>
    </row>
    <row r="25" spans="2:7" x14ac:dyDescent="0.25">
      <c r="B25" s="50" t="s">
        <v>7</v>
      </c>
      <c r="C25" s="93">
        <f>C9</f>
        <v>78000</v>
      </c>
      <c r="D25" s="92">
        <f>'App9. Data for tables'!$H$78</f>
        <v>26</v>
      </c>
      <c r="E25" s="93">
        <f t="shared" si="1"/>
        <v>3000</v>
      </c>
      <c r="F25" s="97">
        <v>50</v>
      </c>
      <c r="G25" s="93">
        <f>(E25-D9)/F25</f>
        <v>60</v>
      </c>
    </row>
    <row r="26" spans="2:7" x14ac:dyDescent="0.25">
      <c r="B26" s="56" t="s">
        <v>9</v>
      </c>
      <c r="C26" s="93">
        <f>C10</f>
        <v>216580</v>
      </c>
      <c r="D26" s="92">
        <f>'App9. Data for tables'!$H$78</f>
        <v>26</v>
      </c>
      <c r="E26" s="93">
        <f t="shared" si="1"/>
        <v>8330</v>
      </c>
      <c r="F26" s="97">
        <v>20</v>
      </c>
      <c r="G26" s="93">
        <f>(E26-D10)/F26</f>
        <v>416.5</v>
      </c>
    </row>
    <row r="27" spans="2:7" x14ac:dyDescent="0.25">
      <c r="B27" s="85" t="s">
        <v>117</v>
      </c>
      <c r="C27" s="93">
        <f>C11</f>
        <v>104411.84</v>
      </c>
      <c r="D27" s="92">
        <f>'App9. Data for tables'!$H$78</f>
        <v>26</v>
      </c>
      <c r="E27" s="93">
        <f t="shared" si="1"/>
        <v>4015.8399999999997</v>
      </c>
      <c r="F27" s="97">
        <v>30</v>
      </c>
      <c r="G27" s="93">
        <f>(E27-D11)/F27</f>
        <v>133.86133333333333</v>
      </c>
    </row>
    <row r="28" spans="2:7" ht="16.8" x14ac:dyDescent="0.25">
      <c r="B28" s="53" t="s">
        <v>190</v>
      </c>
      <c r="C28" s="98"/>
      <c r="D28" s="99"/>
      <c r="E28" s="100"/>
      <c r="F28" s="101"/>
      <c r="G28" s="98">
        <f>'App7. Salv Value &amp; Dep Calc'!H20</f>
        <v>306.93333333333334</v>
      </c>
    </row>
    <row r="29" spans="2:7" x14ac:dyDescent="0.3">
      <c r="B29" s="79" t="s">
        <v>118</v>
      </c>
    </row>
    <row r="30" spans="2:7" ht="18.75" customHeight="1" x14ac:dyDescent="0.3">
      <c r="B30" s="334" t="s">
        <v>191</v>
      </c>
      <c r="C30" s="334"/>
      <c r="D30" s="334"/>
      <c r="E30" s="334"/>
      <c r="F30" s="334"/>
      <c r="G30" s="334"/>
    </row>
    <row r="31" spans="2:7" x14ac:dyDescent="0.3">
      <c r="B31" s="79" t="s">
        <v>456</v>
      </c>
      <c r="C31" s="56"/>
      <c r="D31" s="56"/>
      <c r="E31" s="56"/>
      <c r="F31" s="56"/>
      <c r="G31" s="56"/>
    </row>
  </sheetData>
  <protectedRanges>
    <protectedRange sqref="F22:F28" name="Depreciation"/>
    <protectedRange sqref="C13" name="Interest and Salvage"/>
  </protectedRanges>
  <mergeCells count="7">
    <mergeCell ref="B30:G30"/>
    <mergeCell ref="B2:G2"/>
    <mergeCell ref="B18:G18"/>
    <mergeCell ref="B16:G16"/>
    <mergeCell ref="B17:G17"/>
    <mergeCell ref="B15:G15"/>
    <mergeCell ref="B20:G20"/>
  </mergeCells>
  <phoneticPr fontId="18" type="noConversion"/>
  <pageMargins left="0.7" right="0.7" top="0.75" bottom="0.75" header="0.3" footer="0.3"/>
  <pageSetup orientation="portrait" r:id="rId1"/>
  <ignoredErrors>
    <ignoredError sqref="C13" unlockedFormula="1"/>
    <ignoredError sqref="F6" formula="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125"/>
  <sheetViews>
    <sheetView zoomScaleNormal="100" workbookViewId="0">
      <selection activeCell="B2" sqref="B2:H2"/>
    </sheetView>
  </sheetViews>
  <sheetFormatPr defaultColWidth="9.109375" defaultRowHeight="13.8" x14ac:dyDescent="0.3"/>
  <cols>
    <col min="1" max="2" width="9.6640625" style="61" customWidth="1"/>
    <col min="3" max="3" width="45.44140625" style="59" customWidth="1"/>
    <col min="4" max="4" width="13.44140625" style="59" customWidth="1"/>
    <col min="5" max="5" width="13.33203125" style="59" bestFit="1" customWidth="1"/>
    <col min="6" max="6" width="13.109375" style="59" customWidth="1"/>
    <col min="7" max="7" width="12.6640625" style="59" customWidth="1"/>
    <col min="8" max="8" width="14.44140625" style="59" customWidth="1"/>
    <col min="9" max="9" width="11.44140625" style="59" customWidth="1"/>
    <col min="10" max="16384" width="9.109375" style="61"/>
  </cols>
  <sheetData>
    <row r="2" spans="1:9" ht="39.75" customHeight="1" x14ac:dyDescent="0.3">
      <c r="B2" s="326" t="s">
        <v>457</v>
      </c>
      <c r="C2" s="326"/>
      <c r="D2" s="326"/>
      <c r="E2" s="326"/>
      <c r="F2" s="326"/>
      <c r="G2" s="326"/>
      <c r="H2" s="326"/>
    </row>
    <row r="3" spans="1:9" s="62" customFormat="1" ht="27.6" x14ac:dyDescent="0.3">
      <c r="B3" s="289" t="s">
        <v>474</v>
      </c>
      <c r="C3" s="290" t="s">
        <v>280</v>
      </c>
      <c r="D3" s="291" t="s">
        <v>26</v>
      </c>
      <c r="E3" s="291" t="s">
        <v>23</v>
      </c>
      <c r="F3" s="291" t="s">
        <v>27</v>
      </c>
      <c r="G3" s="291" t="s">
        <v>24</v>
      </c>
      <c r="H3" s="231" t="s">
        <v>28</v>
      </c>
      <c r="I3" s="59"/>
    </row>
    <row r="4" spans="1:9" ht="18.75" customHeight="1" x14ac:dyDescent="0.25">
      <c r="B4" s="12" t="s">
        <v>22</v>
      </c>
      <c r="C4" s="47" t="s">
        <v>458</v>
      </c>
      <c r="D4" s="58"/>
      <c r="E4" s="58"/>
      <c r="F4" s="179">
        <f>'App9. Data for tables'!$C$8</f>
        <v>20000</v>
      </c>
      <c r="G4" s="199">
        <f>'App9. Data for tables'!$C$77</f>
        <v>27</v>
      </c>
      <c r="H4" s="58">
        <f t="shared" ref="H4:H35" si="0">F4*G4</f>
        <v>540000</v>
      </c>
      <c r="I4" s="200"/>
    </row>
    <row r="5" spans="1:9" x14ac:dyDescent="0.25">
      <c r="A5" s="73"/>
      <c r="B5" s="12" t="s">
        <v>22</v>
      </c>
      <c r="C5" s="15" t="s">
        <v>459</v>
      </c>
      <c r="F5" s="179">
        <f>'App9. Data for tables'!$C$9</f>
        <v>12</v>
      </c>
      <c r="G5" s="199">
        <f>'App9. Data for tables'!$C$78</f>
        <v>26</v>
      </c>
      <c r="H5" s="58">
        <f t="shared" si="0"/>
        <v>312</v>
      </c>
    </row>
    <row r="6" spans="1:9" x14ac:dyDescent="0.25">
      <c r="A6" s="73"/>
      <c r="B6" s="12" t="s">
        <v>22</v>
      </c>
      <c r="C6" s="15" t="s">
        <v>460</v>
      </c>
      <c r="F6" s="179">
        <f>'App9. Data for tables'!$C$10</f>
        <v>1000</v>
      </c>
      <c r="G6" s="199">
        <f>'App9. Data for tables'!$C$78</f>
        <v>26</v>
      </c>
      <c r="H6" s="58">
        <f t="shared" si="0"/>
        <v>26000</v>
      </c>
    </row>
    <row r="7" spans="1:9" x14ac:dyDescent="0.25">
      <c r="A7" s="73"/>
      <c r="B7" s="12" t="s">
        <v>22</v>
      </c>
      <c r="C7" s="15" t="s">
        <v>461</v>
      </c>
      <c r="F7" s="179">
        <f>'App9. Data for tables'!$C$11</f>
        <v>180</v>
      </c>
      <c r="G7" s="199">
        <f>'App9. Data for tables'!$C$78</f>
        <v>26</v>
      </c>
      <c r="H7" s="58">
        <f t="shared" si="0"/>
        <v>4680</v>
      </c>
      <c r="I7" s="200"/>
    </row>
    <row r="8" spans="1:9" x14ac:dyDescent="0.25">
      <c r="A8" s="73"/>
      <c r="B8" s="12" t="s">
        <v>22</v>
      </c>
      <c r="C8" s="15" t="s">
        <v>462</v>
      </c>
      <c r="F8" s="179">
        <f>'App9. Data for tables'!$C$12+('App9. Data for tables'!$C$13*'App9. Data for tables'!$C$14)</f>
        <v>327.79</v>
      </c>
      <c r="G8" s="199">
        <f>'App9. Data for tables'!$C$78</f>
        <v>26</v>
      </c>
      <c r="H8" s="58">
        <f t="shared" si="0"/>
        <v>8522.5400000000009</v>
      </c>
    </row>
    <row r="9" spans="1:9" x14ac:dyDescent="0.25">
      <c r="B9" s="12" t="s">
        <v>22</v>
      </c>
      <c r="C9" s="15" t="s">
        <v>463</v>
      </c>
      <c r="D9" s="179">
        <f>'App9. Data for tables'!$C$17</f>
        <v>10.51</v>
      </c>
      <c r="E9" s="199">
        <f>'App9. Data for tables'!$C$79</f>
        <v>1452</v>
      </c>
      <c r="F9" s="58">
        <f>D9*E9</f>
        <v>15260.52</v>
      </c>
      <c r="G9" s="199">
        <f>'App9. Data for tables'!$C$78</f>
        <v>26</v>
      </c>
      <c r="H9" s="58">
        <f t="shared" si="0"/>
        <v>396773.52</v>
      </c>
    </row>
    <row r="10" spans="1:9" x14ac:dyDescent="0.25">
      <c r="B10" s="12" t="s">
        <v>22</v>
      </c>
      <c r="C10" s="15" t="s">
        <v>464</v>
      </c>
      <c r="D10" s="179">
        <f>'App9. Data for tables'!$C$18*'App9. Data for tables'!$C$19</f>
        <v>0.47500000000000003</v>
      </c>
      <c r="E10" s="199">
        <f>'App9. Data for tables'!$C$79</f>
        <v>1452</v>
      </c>
      <c r="F10" s="58">
        <f>D10*E10</f>
        <v>689.7</v>
      </c>
      <c r="G10" s="199">
        <f>'App9. Data for tables'!$C$78</f>
        <v>26</v>
      </c>
      <c r="H10" s="58">
        <f t="shared" si="0"/>
        <v>17932.2</v>
      </c>
      <c r="I10" s="200"/>
    </row>
    <row r="11" spans="1:9" x14ac:dyDescent="0.25">
      <c r="B11" s="12" t="s">
        <v>22</v>
      </c>
      <c r="C11" s="114" t="s">
        <v>4</v>
      </c>
      <c r="D11" s="58"/>
      <c r="E11" s="58"/>
      <c r="F11" s="58">
        <f>'App9. Data for tables'!C20</f>
        <v>8330</v>
      </c>
      <c r="G11" s="199">
        <f>'App9. Data for tables'!$C$78</f>
        <v>26</v>
      </c>
      <c r="H11" s="58">
        <f t="shared" si="0"/>
        <v>216580</v>
      </c>
      <c r="I11" s="200"/>
    </row>
    <row r="12" spans="1:9" x14ac:dyDescent="0.25">
      <c r="B12" s="12" t="s">
        <v>22</v>
      </c>
      <c r="C12" s="15" t="s">
        <v>465</v>
      </c>
      <c r="D12" s="179"/>
      <c r="E12" s="201"/>
      <c r="F12" s="58">
        <f>'App9. Data for tables'!$C$23</f>
        <v>3800</v>
      </c>
      <c r="G12" s="199">
        <f>'App9. Data for tables'!$C$78</f>
        <v>26</v>
      </c>
      <c r="H12" s="58">
        <f t="shared" si="0"/>
        <v>98800</v>
      </c>
    </row>
    <row r="13" spans="1:9" x14ac:dyDescent="0.25">
      <c r="B13" s="12" t="s">
        <v>22</v>
      </c>
      <c r="C13" s="15" t="s">
        <v>466</v>
      </c>
      <c r="D13" s="179"/>
      <c r="E13" s="201"/>
      <c r="F13" s="58">
        <f>'App9. Data for tables'!$C$24</f>
        <v>1000</v>
      </c>
      <c r="G13" s="199">
        <f>'App9. Data for tables'!$C$78</f>
        <v>26</v>
      </c>
      <c r="H13" s="58">
        <f t="shared" si="0"/>
        <v>26000</v>
      </c>
      <c r="I13" s="200"/>
    </row>
    <row r="14" spans="1:9" x14ac:dyDescent="0.25">
      <c r="B14" s="12" t="s">
        <v>22</v>
      </c>
      <c r="C14" s="47" t="s">
        <v>59</v>
      </c>
      <c r="D14" s="58"/>
      <c r="E14" s="58"/>
      <c r="F14" s="58">
        <f>'App9. Data for tables'!$C$25+'App9. Data for tables'!$C$26</f>
        <v>900</v>
      </c>
      <c r="G14" s="199">
        <f>'App9. Data for tables'!$C$78</f>
        <v>26</v>
      </c>
      <c r="H14" s="58">
        <f t="shared" si="0"/>
        <v>23400</v>
      </c>
    </row>
    <row r="15" spans="1:9" ht="16.8" x14ac:dyDescent="0.25">
      <c r="B15" s="12" t="s">
        <v>22</v>
      </c>
      <c r="C15" s="47" t="s">
        <v>226</v>
      </c>
      <c r="D15" s="58"/>
      <c r="E15" s="58"/>
      <c r="F15" s="179">
        <f>'App9. Data for tables'!$C$27</f>
        <v>3000</v>
      </c>
      <c r="G15" s="199">
        <f>'App9. Data for tables'!$C$78</f>
        <v>26</v>
      </c>
      <c r="H15" s="58">
        <f t="shared" si="0"/>
        <v>78000</v>
      </c>
    </row>
    <row r="16" spans="1:9" ht="16.8" x14ac:dyDescent="0.25">
      <c r="B16" s="12" t="s">
        <v>22</v>
      </c>
      <c r="C16" s="59" t="s">
        <v>207</v>
      </c>
      <c r="D16" s="179"/>
      <c r="E16" s="199"/>
      <c r="F16" s="58">
        <f>('App9. Data for tables'!$C$28*'App9. Data for tables'!$C$29)+('App9. Data for tables'!$C$30*'App9. Data for tables'!$C$31)</f>
        <v>1235</v>
      </c>
      <c r="G16" s="199">
        <f>'App9. Data for tables'!$C$78</f>
        <v>26</v>
      </c>
      <c r="H16" s="58">
        <f t="shared" si="0"/>
        <v>32110</v>
      </c>
      <c r="I16" s="200"/>
    </row>
    <row r="17" spans="2:9" ht="16.8" x14ac:dyDescent="0.25">
      <c r="B17" s="12" t="s">
        <v>22</v>
      </c>
      <c r="C17" s="59" t="s">
        <v>249</v>
      </c>
      <c r="D17" s="202"/>
      <c r="E17" s="203"/>
      <c r="F17" s="58">
        <f>('App9. Data for tables'!$C$32*'App9. Data for tables'!$C$33)+('App9. Data for tables'!$C$34*'App9. Data for tables'!$C$35)</f>
        <v>0</v>
      </c>
      <c r="G17" s="199">
        <f>'App9. Data for tables'!$C$78</f>
        <v>26</v>
      </c>
      <c r="H17" s="58">
        <f t="shared" si="0"/>
        <v>0</v>
      </c>
      <c r="I17" s="58"/>
    </row>
    <row r="18" spans="2:9" ht="16.8" x14ac:dyDescent="0.25">
      <c r="B18" s="12" t="s">
        <v>22</v>
      </c>
      <c r="C18" s="59" t="s">
        <v>251</v>
      </c>
      <c r="D18" s="58"/>
      <c r="E18" s="58"/>
      <c r="F18" s="179">
        <f>'App9. Data for tables'!$C$36+('App9. Data for tables'!$C$37*'App9. Data for tables'!$C$38)</f>
        <v>348.95</v>
      </c>
      <c r="G18" s="199">
        <v>53</v>
      </c>
      <c r="H18" s="58">
        <f t="shared" si="0"/>
        <v>18494.349999999999</v>
      </c>
      <c r="I18" s="204"/>
    </row>
    <row r="19" spans="2:9" ht="16.8" x14ac:dyDescent="0.25">
      <c r="B19" s="12" t="s">
        <v>22</v>
      </c>
      <c r="C19" s="15" t="s">
        <v>467</v>
      </c>
      <c r="D19" s="58"/>
      <c r="E19" s="58"/>
      <c r="F19" s="179">
        <f>'App9. Data for tables'!$C$39</f>
        <v>90</v>
      </c>
      <c r="G19" s="199">
        <f>'App9. Data for tables'!$C$78</f>
        <v>26</v>
      </c>
      <c r="H19" s="58">
        <f t="shared" si="0"/>
        <v>2340</v>
      </c>
      <c r="I19" s="205"/>
    </row>
    <row r="20" spans="2:9" ht="16.8" x14ac:dyDescent="0.25">
      <c r="B20" s="12" t="s">
        <v>22</v>
      </c>
      <c r="C20" s="15" t="s">
        <v>468</v>
      </c>
      <c r="D20" s="58"/>
      <c r="E20" s="58"/>
      <c r="F20" s="179">
        <f>('App9. Data for tables'!$C$40*'App9. Data for tables'!$C$41)</f>
        <v>0</v>
      </c>
      <c r="G20" s="199">
        <f>'App9. Data for tables'!$C$78</f>
        <v>26</v>
      </c>
      <c r="H20" s="58">
        <f t="shared" si="0"/>
        <v>0</v>
      </c>
      <c r="I20" s="205"/>
    </row>
    <row r="21" spans="2:9" x14ac:dyDescent="0.25">
      <c r="B21" s="12" t="s">
        <v>22</v>
      </c>
      <c r="C21" s="47" t="s">
        <v>138</v>
      </c>
      <c r="D21" s="179"/>
      <c r="E21" s="201"/>
      <c r="F21" s="58">
        <f>'App9. Data for tables'!$C$42</f>
        <v>170</v>
      </c>
      <c r="G21" s="199">
        <f>'App9. Data for tables'!$C$78</f>
        <v>26</v>
      </c>
      <c r="H21" s="58">
        <f t="shared" si="0"/>
        <v>4420</v>
      </c>
      <c r="I21" s="204"/>
    </row>
    <row r="22" spans="2:9" x14ac:dyDescent="0.25">
      <c r="B22" s="12" t="s">
        <v>22</v>
      </c>
      <c r="C22" s="47" t="s">
        <v>12</v>
      </c>
      <c r="D22" s="58"/>
      <c r="E22" s="199"/>
      <c r="F22" s="179">
        <f>'App9. Data for tables'!$C$43</f>
        <v>180</v>
      </c>
      <c r="G22" s="199">
        <f>'App9. Data for tables'!$C$78</f>
        <v>26</v>
      </c>
      <c r="H22" s="58">
        <f t="shared" si="0"/>
        <v>4680</v>
      </c>
    </row>
    <row r="23" spans="2:9" ht="16.8" x14ac:dyDescent="0.25">
      <c r="B23" s="12" t="s">
        <v>22</v>
      </c>
      <c r="C23" s="47" t="s">
        <v>335</v>
      </c>
      <c r="D23" s="58"/>
      <c r="E23" s="199"/>
      <c r="F23" s="179">
        <f>('App9. Data for tables'!$C$44*'App9. Data for tables'!$C$45)</f>
        <v>361.27</v>
      </c>
      <c r="G23" s="199">
        <f>'App9. Data for tables'!$C$78</f>
        <v>26</v>
      </c>
      <c r="H23" s="58">
        <f t="shared" si="0"/>
        <v>9393.02</v>
      </c>
    </row>
    <row r="24" spans="2:9" ht="16.8" x14ac:dyDescent="0.25">
      <c r="B24" s="12" t="s">
        <v>22</v>
      </c>
      <c r="C24" s="47" t="s">
        <v>339</v>
      </c>
      <c r="D24" s="179"/>
      <c r="E24" s="206"/>
      <c r="F24" s="179">
        <f>'App9. Data for tables'!$C$48+('App9. Data for tables'!$C$49*'App9. Data for tables'!$C$50)</f>
        <v>4015.84</v>
      </c>
      <c r="G24" s="199">
        <f>'App9. Data for tables'!$C$78</f>
        <v>26</v>
      </c>
      <c r="H24" s="58">
        <f t="shared" si="0"/>
        <v>104411.84</v>
      </c>
    </row>
    <row r="25" spans="2:9" ht="16.8" x14ac:dyDescent="0.25">
      <c r="B25" s="12" t="s">
        <v>22</v>
      </c>
      <c r="C25" s="47" t="s">
        <v>255</v>
      </c>
      <c r="D25" s="58"/>
      <c r="E25" s="58"/>
      <c r="F25" s="179">
        <f>'App9. Data for tables'!$C$51*'App9. Data for tables'!$C$52</f>
        <v>9.9</v>
      </c>
      <c r="G25" s="199">
        <f>'App9. Data for tables'!$C$78</f>
        <v>26</v>
      </c>
      <c r="H25" s="58">
        <f t="shared" si="0"/>
        <v>257.40000000000003</v>
      </c>
    </row>
    <row r="26" spans="2:9" ht="16.8" x14ac:dyDescent="0.25">
      <c r="B26" s="12" t="s">
        <v>22</v>
      </c>
      <c r="C26" s="47" t="s">
        <v>342</v>
      </c>
      <c r="D26" s="58"/>
      <c r="E26" s="199"/>
      <c r="F26" s="179">
        <f>SUM('App9. Data for tables'!$C$53:$C$57)</f>
        <v>360</v>
      </c>
      <c r="G26" s="199">
        <f>'App9. Data for tables'!$C$78</f>
        <v>26</v>
      </c>
      <c r="H26" s="58">
        <f t="shared" si="0"/>
        <v>9360</v>
      </c>
    </row>
    <row r="27" spans="2:9" ht="16.8" x14ac:dyDescent="0.25">
      <c r="B27" s="12" t="s">
        <v>22</v>
      </c>
      <c r="C27" s="47" t="s">
        <v>344</v>
      </c>
      <c r="D27" s="58"/>
      <c r="E27" s="199"/>
      <c r="F27" s="179">
        <f>'App9. Data for tables'!$C$58</f>
        <v>270</v>
      </c>
      <c r="G27" s="199">
        <f>'App9. Data for tables'!$C$78</f>
        <v>26</v>
      </c>
      <c r="H27" s="58">
        <f t="shared" si="0"/>
        <v>7020</v>
      </c>
    </row>
    <row r="28" spans="2:9" ht="16.8" x14ac:dyDescent="0.25">
      <c r="B28" s="12" t="s">
        <v>22</v>
      </c>
      <c r="C28" s="47" t="s">
        <v>345</v>
      </c>
      <c r="D28" s="179"/>
      <c r="E28" s="201"/>
      <c r="F28" s="58">
        <f>'App9. Data for tables'!$C$68</f>
        <v>300</v>
      </c>
      <c r="G28" s="199">
        <f>'App9. Data for tables'!$C$78</f>
        <v>26</v>
      </c>
      <c r="H28" s="58">
        <f t="shared" si="0"/>
        <v>7800</v>
      </c>
      <c r="I28" s="204"/>
    </row>
    <row r="29" spans="2:9" x14ac:dyDescent="0.25">
      <c r="B29" s="12" t="s">
        <v>22</v>
      </c>
      <c r="C29" s="47" t="s">
        <v>112</v>
      </c>
      <c r="D29" s="58"/>
      <c r="E29" s="199"/>
      <c r="F29" s="179">
        <f>'App9. Data for tables'!$C$69</f>
        <v>190</v>
      </c>
      <c r="G29" s="199">
        <f>'App9. Data for tables'!$C$78</f>
        <v>26</v>
      </c>
      <c r="H29" s="58">
        <f t="shared" si="0"/>
        <v>4940</v>
      </c>
    </row>
    <row r="30" spans="2:9" x14ac:dyDescent="0.25">
      <c r="B30" s="12" t="s">
        <v>22</v>
      </c>
      <c r="C30" s="47" t="s">
        <v>51</v>
      </c>
      <c r="D30" s="58"/>
      <c r="E30" s="199"/>
      <c r="F30" s="179">
        <f>'App9. Data for tables'!$C$70</f>
        <v>200</v>
      </c>
      <c r="G30" s="199">
        <f>'App9. Data for tables'!$C$78</f>
        <v>26</v>
      </c>
      <c r="H30" s="58">
        <f t="shared" si="0"/>
        <v>5200</v>
      </c>
      <c r="I30" s="200"/>
    </row>
    <row r="31" spans="2:9" x14ac:dyDescent="0.25">
      <c r="B31" s="12" t="s">
        <v>22</v>
      </c>
      <c r="C31" s="47" t="s">
        <v>56</v>
      </c>
      <c r="D31" s="58"/>
      <c r="E31" s="199"/>
      <c r="F31" s="179">
        <f>'App9. Data for tables'!$C$71</f>
        <v>600</v>
      </c>
      <c r="G31" s="199">
        <f>'App9. Data for tables'!$C$78</f>
        <v>26</v>
      </c>
      <c r="H31" s="58">
        <f t="shared" si="0"/>
        <v>15600</v>
      </c>
    </row>
    <row r="32" spans="2:9" ht="16.8" x14ac:dyDescent="0.25">
      <c r="B32" s="12" t="s">
        <v>22</v>
      </c>
      <c r="C32" s="47" t="s">
        <v>348</v>
      </c>
      <c r="D32" s="58"/>
      <c r="E32" s="199"/>
      <c r="F32" s="179">
        <f>'App9. Data for tables'!$C$72</f>
        <v>750</v>
      </c>
      <c r="G32" s="199">
        <f>'App9. Data for tables'!$C$78</f>
        <v>26</v>
      </c>
      <c r="H32" s="58">
        <f t="shared" si="0"/>
        <v>19500</v>
      </c>
    </row>
    <row r="33" spans="2:17" s="236" customFormat="1" ht="36" customHeight="1" x14ac:dyDescent="0.25">
      <c r="B33" s="14" t="s">
        <v>1</v>
      </c>
      <c r="C33" s="12" t="s">
        <v>207</v>
      </c>
      <c r="D33" s="281"/>
      <c r="E33" s="235"/>
      <c r="F33" s="282">
        <f>('App9. Data for tables'!$D$28*'App9. Data for tables'!$D$29)+('App9. Data for tables'!$D$30*'App9. Data for tables'!$D$31)</f>
        <v>1211.25</v>
      </c>
      <c r="G33" s="235">
        <f>'App9. Data for tables'!$D$78</f>
        <v>26</v>
      </c>
      <c r="H33" s="282">
        <f t="shared" si="0"/>
        <v>31492.5</v>
      </c>
      <c r="I33" s="282"/>
      <c r="J33" s="283"/>
      <c r="K33" s="284"/>
      <c r="L33" s="285"/>
      <c r="M33" s="283"/>
      <c r="N33" s="284"/>
      <c r="O33" s="285"/>
      <c r="P33" s="283"/>
      <c r="Q33" s="284"/>
    </row>
    <row r="34" spans="2:17" ht="16.8" x14ac:dyDescent="0.25">
      <c r="B34" s="14" t="s">
        <v>1</v>
      </c>
      <c r="C34" s="59" t="s">
        <v>249</v>
      </c>
      <c r="D34" s="202"/>
      <c r="E34" s="203"/>
      <c r="F34" s="58">
        <f>('App9. Data for tables'!$D$32*'App9. Data for tables'!$D$33)+('App9. Data for tables'!$D$34*'App9. Data for tables'!$D$35)</f>
        <v>0</v>
      </c>
      <c r="G34" s="235">
        <f>'App9. Data for tables'!$D$78</f>
        <v>26</v>
      </c>
      <c r="H34" s="282">
        <f t="shared" si="0"/>
        <v>0</v>
      </c>
      <c r="I34" s="58"/>
    </row>
    <row r="35" spans="2:17" ht="16.8" x14ac:dyDescent="0.25">
      <c r="B35" s="14" t="s">
        <v>1</v>
      </c>
      <c r="C35" s="59" t="s">
        <v>251</v>
      </c>
      <c r="D35" s="58"/>
      <c r="E35" s="58"/>
      <c r="F35" s="179">
        <f>'App9. Data for tables'!$D$36+('App9. Data for tables'!$D$37*'App9. Data for tables'!$D$38)</f>
        <v>819.06</v>
      </c>
      <c r="G35" s="235">
        <f>'App9. Data for tables'!$D$78</f>
        <v>26</v>
      </c>
      <c r="H35" s="282">
        <f t="shared" si="0"/>
        <v>21295.559999999998</v>
      </c>
      <c r="I35" s="205"/>
      <c r="K35" s="208"/>
      <c r="N35" s="208"/>
      <c r="Q35" s="208"/>
    </row>
    <row r="36" spans="2:17" ht="16.8" x14ac:dyDescent="0.25">
      <c r="B36" s="14" t="s">
        <v>1</v>
      </c>
      <c r="C36" s="15" t="s">
        <v>467</v>
      </c>
      <c r="D36" s="58"/>
      <c r="E36" s="58"/>
      <c r="F36" s="179">
        <f>'App9. Data for tables'!$D$39</f>
        <v>90</v>
      </c>
      <c r="G36" s="235">
        <f>'App9. Data for tables'!$D$78</f>
        <v>26</v>
      </c>
      <c r="H36" s="282">
        <f t="shared" ref="H36:H67" si="1">F36*G36</f>
        <v>2340</v>
      </c>
      <c r="I36" s="205"/>
      <c r="K36" s="208"/>
      <c r="N36" s="208"/>
      <c r="Q36" s="208"/>
    </row>
    <row r="37" spans="2:17" ht="16.8" x14ac:dyDescent="0.25">
      <c r="B37" s="14" t="s">
        <v>1</v>
      </c>
      <c r="C37" s="15" t="s">
        <v>468</v>
      </c>
      <c r="D37" s="58"/>
      <c r="E37" s="58"/>
      <c r="F37" s="179">
        <f>('App9. Data for tables'!$D$40*'App9. Data for tables'!$D$41)</f>
        <v>0</v>
      </c>
      <c r="G37" s="235">
        <f>'App9. Data for tables'!$D$78</f>
        <v>26</v>
      </c>
      <c r="H37" s="282">
        <f t="shared" si="1"/>
        <v>0</v>
      </c>
      <c r="I37" s="205"/>
      <c r="K37" s="208"/>
      <c r="N37" s="208"/>
      <c r="Q37" s="208"/>
    </row>
    <row r="38" spans="2:17" x14ac:dyDescent="0.25">
      <c r="B38" s="14" t="s">
        <v>1</v>
      </c>
      <c r="C38" s="47" t="s">
        <v>138</v>
      </c>
      <c r="D38" s="179"/>
      <c r="E38" s="201"/>
      <c r="F38" s="58">
        <f>'App9. Data for tables'!$D$42</f>
        <v>170</v>
      </c>
      <c r="G38" s="235">
        <f>'App9. Data for tables'!$D$78</f>
        <v>26</v>
      </c>
      <c r="H38" s="282">
        <f t="shared" si="1"/>
        <v>4420</v>
      </c>
      <c r="O38" s="209"/>
      <c r="P38" s="207"/>
      <c r="Q38" s="181"/>
    </row>
    <row r="39" spans="2:17" x14ac:dyDescent="0.25">
      <c r="B39" s="14" t="s">
        <v>1</v>
      </c>
      <c r="C39" s="47" t="s">
        <v>12</v>
      </c>
      <c r="D39" s="58"/>
      <c r="E39" s="199"/>
      <c r="F39" s="179">
        <f>'App9. Data for tables'!$D$43</f>
        <v>180</v>
      </c>
      <c r="G39" s="235">
        <f>'App9. Data for tables'!$D$78</f>
        <v>26</v>
      </c>
      <c r="H39" s="282">
        <f t="shared" si="1"/>
        <v>4680</v>
      </c>
    </row>
    <row r="40" spans="2:17" ht="16.8" x14ac:dyDescent="0.25">
      <c r="B40" s="14" t="s">
        <v>1</v>
      </c>
      <c r="C40" s="47" t="s">
        <v>335</v>
      </c>
      <c r="D40" s="58"/>
      <c r="E40" s="199"/>
      <c r="F40" s="179">
        <f>('App9. Data for tables'!$D$44*'App9. Data for tables'!$D$45)</f>
        <v>361.27</v>
      </c>
      <c r="G40" s="235">
        <f>'App9. Data for tables'!$D$78</f>
        <v>26</v>
      </c>
      <c r="H40" s="282">
        <f t="shared" si="1"/>
        <v>9393.02</v>
      </c>
    </row>
    <row r="41" spans="2:17" ht="16.8" x14ac:dyDescent="0.25">
      <c r="B41" s="14" t="s">
        <v>1</v>
      </c>
      <c r="C41" s="47" t="s">
        <v>255</v>
      </c>
      <c r="D41" s="58"/>
      <c r="E41" s="58"/>
      <c r="F41" s="179">
        <f>'App9. Data for tables'!$D$51*'App9. Data for tables'!$D$52</f>
        <v>9.9</v>
      </c>
      <c r="G41" s="235">
        <f>'App9. Data for tables'!$D$78</f>
        <v>26</v>
      </c>
      <c r="H41" s="282">
        <f t="shared" si="1"/>
        <v>257.40000000000003</v>
      </c>
    </row>
    <row r="42" spans="2:17" ht="16.8" x14ac:dyDescent="0.25">
      <c r="B42" s="14" t="s">
        <v>1</v>
      </c>
      <c r="C42" s="47" t="s">
        <v>342</v>
      </c>
      <c r="D42" s="58"/>
      <c r="E42" s="199"/>
      <c r="F42" s="179">
        <f>SUM('App9. Data for tables'!$D$53:$D$57)</f>
        <v>360</v>
      </c>
      <c r="G42" s="235">
        <f>'App9. Data for tables'!$D$78</f>
        <v>26</v>
      </c>
      <c r="H42" s="282">
        <f t="shared" si="1"/>
        <v>9360</v>
      </c>
      <c r="Q42" s="208"/>
    </row>
    <row r="43" spans="2:17" ht="16.8" x14ac:dyDescent="0.25">
      <c r="B43" s="14" t="s">
        <v>1</v>
      </c>
      <c r="C43" s="47" t="s">
        <v>344</v>
      </c>
      <c r="D43" s="58"/>
      <c r="E43" s="199"/>
      <c r="F43" s="179">
        <f>'App9. Data for tables'!$D$58</f>
        <v>270</v>
      </c>
      <c r="G43" s="235">
        <f>'App9. Data for tables'!$D$78</f>
        <v>26</v>
      </c>
      <c r="H43" s="282">
        <f t="shared" si="1"/>
        <v>7020</v>
      </c>
      <c r="Q43" s="208"/>
    </row>
    <row r="44" spans="2:17" ht="16.8" x14ac:dyDescent="0.25">
      <c r="B44" s="14" t="s">
        <v>1</v>
      </c>
      <c r="C44" s="47" t="s">
        <v>345</v>
      </c>
      <c r="D44" s="179"/>
      <c r="E44" s="201"/>
      <c r="F44" s="58">
        <f>'App9. Data for tables'!$D$68</f>
        <v>300</v>
      </c>
      <c r="G44" s="235">
        <f>'App9. Data for tables'!$D$78</f>
        <v>26</v>
      </c>
      <c r="H44" s="282">
        <f t="shared" si="1"/>
        <v>7800</v>
      </c>
      <c r="O44" s="209"/>
      <c r="P44" s="207"/>
      <c r="Q44" s="181"/>
    </row>
    <row r="45" spans="2:17" x14ac:dyDescent="0.25">
      <c r="B45" s="14" t="s">
        <v>1</v>
      </c>
      <c r="C45" s="47" t="s">
        <v>112</v>
      </c>
      <c r="D45" s="58"/>
      <c r="E45" s="199"/>
      <c r="F45" s="179">
        <f>'App9. Data for tables'!$D$69</f>
        <v>190</v>
      </c>
      <c r="G45" s="235">
        <f>'App9. Data for tables'!$D$78</f>
        <v>26</v>
      </c>
      <c r="H45" s="282">
        <f t="shared" si="1"/>
        <v>4940</v>
      </c>
    </row>
    <row r="46" spans="2:17" x14ac:dyDescent="0.25">
      <c r="B46" s="14" t="s">
        <v>1</v>
      </c>
      <c r="C46" s="47" t="s">
        <v>51</v>
      </c>
      <c r="D46" s="58"/>
      <c r="E46" s="199"/>
      <c r="F46" s="179">
        <f>'App9. Data for tables'!$D$70</f>
        <v>200</v>
      </c>
      <c r="G46" s="235">
        <f>'App9. Data for tables'!$D$78</f>
        <v>26</v>
      </c>
      <c r="H46" s="282">
        <f t="shared" si="1"/>
        <v>5200</v>
      </c>
    </row>
    <row r="47" spans="2:17" x14ac:dyDescent="0.25">
      <c r="B47" s="14" t="s">
        <v>1</v>
      </c>
      <c r="C47" s="47" t="s">
        <v>56</v>
      </c>
      <c r="D47" s="58"/>
      <c r="E47" s="199"/>
      <c r="F47" s="179">
        <f>'App9. Data for tables'!$D$71</f>
        <v>600</v>
      </c>
      <c r="G47" s="235">
        <f>'App9. Data for tables'!$D$78</f>
        <v>26</v>
      </c>
      <c r="H47" s="282">
        <f t="shared" si="1"/>
        <v>15600</v>
      </c>
    </row>
    <row r="48" spans="2:17" ht="16.8" x14ac:dyDescent="0.25">
      <c r="B48" s="14" t="s">
        <v>1</v>
      </c>
      <c r="C48" s="47" t="s">
        <v>348</v>
      </c>
      <c r="D48" s="58"/>
      <c r="E48" s="199"/>
      <c r="F48" s="179">
        <f>'App9. Data for tables'!$C$72</f>
        <v>750</v>
      </c>
      <c r="G48" s="235">
        <f>'App9. Data for tables'!$D$78</f>
        <v>26</v>
      </c>
      <c r="H48" s="282">
        <f t="shared" si="1"/>
        <v>19500</v>
      </c>
    </row>
    <row r="49" spans="2:17" s="236" customFormat="1" ht="36" customHeight="1" x14ac:dyDescent="0.25">
      <c r="B49" s="14" t="s">
        <v>2</v>
      </c>
      <c r="C49" s="12" t="s">
        <v>207</v>
      </c>
      <c r="D49" s="281"/>
      <c r="E49" s="286"/>
      <c r="F49" s="282">
        <f>('App9. Data for tables'!$E$28*'App9. Data for tables'!$E$29)+('App9. Data for tables'!$E$30*'App9. Data for tables'!$E$31)</f>
        <v>1235</v>
      </c>
      <c r="G49" s="235">
        <f>'App9. Data for tables'!$E$78</f>
        <v>26</v>
      </c>
      <c r="H49" s="282">
        <f t="shared" si="1"/>
        <v>32110</v>
      </c>
      <c r="I49" s="282"/>
    </row>
    <row r="50" spans="2:17" ht="16.8" x14ac:dyDescent="0.25">
      <c r="B50" s="14" t="s">
        <v>2</v>
      </c>
      <c r="C50" s="59" t="s">
        <v>249</v>
      </c>
      <c r="D50" s="202"/>
      <c r="E50" s="203"/>
      <c r="F50" s="58">
        <f>('App9. Data for tables'!$E$32*'App9. Data for tables'!$E$33)+('App9. Data for tables'!$E$34*'App9. Data for tables'!$E$35)</f>
        <v>720.58</v>
      </c>
      <c r="G50" s="235">
        <f>'App9. Data for tables'!$E$78</f>
        <v>26</v>
      </c>
      <c r="H50" s="282">
        <f t="shared" si="1"/>
        <v>18735.080000000002</v>
      </c>
      <c r="I50" s="58"/>
    </row>
    <row r="51" spans="2:17" ht="16.8" x14ac:dyDescent="0.25">
      <c r="B51" s="14" t="s">
        <v>2</v>
      </c>
      <c r="C51" s="59" t="s">
        <v>251</v>
      </c>
      <c r="D51" s="58"/>
      <c r="E51" s="58"/>
      <c r="F51" s="179">
        <f>'App9. Data for tables'!$E$36+('App9. Data for tables'!$E$37*'App9. Data for tables'!$E$38)</f>
        <v>2132.8000000000002</v>
      </c>
      <c r="G51" s="235">
        <f>'App9. Data for tables'!$E$78</f>
        <v>26</v>
      </c>
      <c r="H51" s="282">
        <f t="shared" si="1"/>
        <v>55452.800000000003</v>
      </c>
    </row>
    <row r="52" spans="2:17" ht="16.8" x14ac:dyDescent="0.25">
      <c r="B52" s="14" t="s">
        <v>2</v>
      </c>
      <c r="C52" s="15" t="s">
        <v>467</v>
      </c>
      <c r="D52" s="58"/>
      <c r="E52" s="58"/>
      <c r="F52" s="179">
        <f>'App9. Data for tables'!$E$39</f>
        <v>244</v>
      </c>
      <c r="G52" s="235">
        <f>'App9. Data for tables'!$E$78</f>
        <v>26</v>
      </c>
      <c r="H52" s="282">
        <f t="shared" si="1"/>
        <v>6344</v>
      </c>
      <c r="I52" s="205"/>
      <c r="K52" s="208"/>
      <c r="N52" s="208"/>
      <c r="Q52" s="208"/>
    </row>
    <row r="53" spans="2:17" ht="16.8" x14ac:dyDescent="0.25">
      <c r="B53" s="14" t="s">
        <v>2</v>
      </c>
      <c r="C53" s="15" t="s">
        <v>468</v>
      </c>
      <c r="D53" s="58"/>
      <c r="E53" s="58"/>
      <c r="F53" s="179">
        <f>('App9. Data for tables'!$E$40*'App9. Data for tables'!$E$41)</f>
        <v>49.5</v>
      </c>
      <c r="G53" s="235">
        <f>'App9. Data for tables'!$E$78</f>
        <v>26</v>
      </c>
      <c r="H53" s="282">
        <f t="shared" si="1"/>
        <v>1287</v>
      </c>
      <c r="I53" s="205"/>
      <c r="K53" s="208"/>
      <c r="N53" s="208"/>
      <c r="Q53" s="208"/>
    </row>
    <row r="54" spans="2:17" x14ac:dyDescent="0.25">
      <c r="B54" s="14" t="s">
        <v>2</v>
      </c>
      <c r="C54" s="47" t="s">
        <v>138</v>
      </c>
      <c r="D54" s="179"/>
      <c r="E54" s="201"/>
      <c r="F54" s="58">
        <f>'App9. Data for tables'!$E$42</f>
        <v>170</v>
      </c>
      <c r="G54" s="235">
        <f>'App9. Data for tables'!$E$78</f>
        <v>26</v>
      </c>
      <c r="H54" s="282">
        <f t="shared" si="1"/>
        <v>4420</v>
      </c>
    </row>
    <row r="55" spans="2:17" x14ac:dyDescent="0.25">
      <c r="B55" s="14" t="s">
        <v>2</v>
      </c>
      <c r="C55" s="47" t="s">
        <v>12</v>
      </c>
      <c r="D55" s="58"/>
      <c r="E55" s="58"/>
      <c r="F55" s="179">
        <f>'App9. Data for tables'!$E$43</f>
        <v>180</v>
      </c>
      <c r="G55" s="235">
        <f>'App9. Data for tables'!$E$78</f>
        <v>26</v>
      </c>
      <c r="H55" s="282">
        <f t="shared" si="1"/>
        <v>4680</v>
      </c>
    </row>
    <row r="56" spans="2:17" ht="16.8" x14ac:dyDescent="0.25">
      <c r="B56" s="14" t="s">
        <v>2</v>
      </c>
      <c r="C56" s="47" t="s">
        <v>338</v>
      </c>
      <c r="D56" s="58"/>
      <c r="E56" s="58"/>
      <c r="F56" s="179">
        <f>('App9. Data for tables'!$E$44*'App9. Data for tables'!$E$45)</f>
        <v>361.27</v>
      </c>
      <c r="G56" s="235">
        <f>'App9. Data for tables'!$E$78</f>
        <v>26</v>
      </c>
      <c r="H56" s="282">
        <f t="shared" si="1"/>
        <v>9393.02</v>
      </c>
    </row>
    <row r="57" spans="2:17" x14ac:dyDescent="0.25">
      <c r="B57" s="14" t="s">
        <v>2</v>
      </c>
      <c r="C57" s="59" t="s">
        <v>10</v>
      </c>
      <c r="D57" s="179"/>
      <c r="E57" s="201"/>
      <c r="F57" s="58">
        <f>'App9. Data for tables'!$E$46*'App9. Data for tables'!$E$47</f>
        <v>65</v>
      </c>
      <c r="G57" s="235">
        <f>'App9. Data for tables'!$E$78</f>
        <v>26</v>
      </c>
      <c r="H57" s="282">
        <f t="shared" si="1"/>
        <v>1690</v>
      </c>
      <c r="I57" s="200"/>
    </row>
    <row r="58" spans="2:17" ht="16.8" x14ac:dyDescent="0.25">
      <c r="B58" s="14" t="s">
        <v>2</v>
      </c>
      <c r="C58" s="47" t="s">
        <v>255</v>
      </c>
      <c r="D58" s="58"/>
      <c r="E58" s="58"/>
      <c r="F58" s="179">
        <f>('App9. Data for tables'!$E$51*'App9. Data for tables'!$E$52)</f>
        <v>9.9</v>
      </c>
      <c r="G58" s="235">
        <f>'App9. Data for tables'!$E$78</f>
        <v>26</v>
      </c>
      <c r="H58" s="282">
        <f t="shared" si="1"/>
        <v>257.40000000000003</v>
      </c>
    </row>
    <row r="59" spans="2:17" ht="16.8" x14ac:dyDescent="0.25">
      <c r="B59" s="14" t="s">
        <v>2</v>
      </c>
      <c r="C59" s="47" t="s">
        <v>342</v>
      </c>
      <c r="D59" s="58"/>
      <c r="E59" s="58"/>
      <c r="F59" s="179">
        <f>SUM('App9. Data for tables'!$E$53:$E$57)</f>
        <v>360</v>
      </c>
      <c r="G59" s="235">
        <f>'App9. Data for tables'!$E$78</f>
        <v>26</v>
      </c>
      <c r="H59" s="282">
        <f t="shared" si="1"/>
        <v>9360</v>
      </c>
    </row>
    <row r="60" spans="2:17" ht="16.8" x14ac:dyDescent="0.25">
      <c r="B60" s="14" t="s">
        <v>2</v>
      </c>
      <c r="C60" s="47" t="s">
        <v>344</v>
      </c>
      <c r="D60" s="58"/>
      <c r="E60" s="58"/>
      <c r="F60" s="179">
        <f>'App9. Data for tables'!$E$58</f>
        <v>270</v>
      </c>
      <c r="G60" s="235">
        <f>'App9. Data for tables'!$E$78</f>
        <v>26</v>
      </c>
      <c r="H60" s="282">
        <f t="shared" si="1"/>
        <v>7020</v>
      </c>
    </row>
    <row r="61" spans="2:17" ht="16.8" x14ac:dyDescent="0.25">
      <c r="B61" s="14" t="s">
        <v>2</v>
      </c>
      <c r="C61" s="47" t="s">
        <v>345</v>
      </c>
      <c r="D61" s="179"/>
      <c r="E61" s="201"/>
      <c r="F61" s="58">
        <f>'App9. Data for tables'!$E$68</f>
        <v>300</v>
      </c>
      <c r="G61" s="235">
        <f>'App9. Data for tables'!$E$78</f>
        <v>26</v>
      </c>
      <c r="H61" s="282">
        <f t="shared" si="1"/>
        <v>7800</v>
      </c>
    </row>
    <row r="62" spans="2:17" x14ac:dyDescent="0.25">
      <c r="B62" s="14" t="s">
        <v>2</v>
      </c>
      <c r="C62" s="47" t="s">
        <v>112</v>
      </c>
      <c r="D62" s="58"/>
      <c r="E62" s="199"/>
      <c r="F62" s="179">
        <f>'App9. Data for tables'!$E$69</f>
        <v>190</v>
      </c>
      <c r="G62" s="235">
        <f>'App9. Data for tables'!$E$78</f>
        <v>26</v>
      </c>
      <c r="H62" s="282">
        <f t="shared" si="1"/>
        <v>4940</v>
      </c>
    </row>
    <row r="63" spans="2:17" x14ac:dyDescent="0.25">
      <c r="B63" s="14" t="s">
        <v>2</v>
      </c>
      <c r="C63" s="47" t="s">
        <v>51</v>
      </c>
      <c r="D63" s="58"/>
      <c r="E63" s="58"/>
      <c r="F63" s="179">
        <f>'App9. Data for tables'!$E$70</f>
        <v>200</v>
      </c>
      <c r="G63" s="235">
        <f>'App9. Data for tables'!$E$78</f>
        <v>26</v>
      </c>
      <c r="H63" s="282">
        <f t="shared" si="1"/>
        <v>5200</v>
      </c>
    </row>
    <row r="64" spans="2:17" x14ac:dyDescent="0.25">
      <c r="B64" s="14" t="s">
        <v>2</v>
      </c>
      <c r="C64" s="47" t="s">
        <v>56</v>
      </c>
      <c r="D64" s="58"/>
      <c r="E64" s="58"/>
      <c r="F64" s="179">
        <f>'App9. Data for tables'!$E$71</f>
        <v>600</v>
      </c>
      <c r="G64" s="235">
        <f>'App9. Data for tables'!$E$78</f>
        <v>26</v>
      </c>
      <c r="H64" s="282">
        <f t="shared" si="1"/>
        <v>15600</v>
      </c>
    </row>
    <row r="65" spans="2:17" ht="16.8" x14ac:dyDescent="0.25">
      <c r="B65" s="14" t="s">
        <v>2</v>
      </c>
      <c r="C65" s="47" t="s">
        <v>348</v>
      </c>
      <c r="D65" s="58"/>
      <c r="E65" s="58"/>
      <c r="F65" s="179">
        <f>'App9. Data for tables'!$E$72</f>
        <v>750</v>
      </c>
      <c r="G65" s="235">
        <f>'App9. Data for tables'!$E$78</f>
        <v>26</v>
      </c>
      <c r="H65" s="282">
        <f t="shared" si="1"/>
        <v>19500</v>
      </c>
    </row>
    <row r="66" spans="2:17" s="236" customFormat="1" ht="36" customHeight="1" x14ac:dyDescent="0.25">
      <c r="B66" s="14" t="s">
        <v>3</v>
      </c>
      <c r="C66" s="15" t="s">
        <v>469</v>
      </c>
      <c r="D66" s="282"/>
      <c r="E66" s="282"/>
      <c r="F66" s="281">
        <f>'App9. Data for tables'!$F$21</f>
        <v>10000</v>
      </c>
      <c r="G66" s="235">
        <f>'App9. Data for tables'!$F$78</f>
        <v>26</v>
      </c>
      <c r="H66" s="282">
        <f t="shared" si="1"/>
        <v>260000</v>
      </c>
      <c r="I66" s="12"/>
    </row>
    <row r="67" spans="2:17" x14ac:dyDescent="0.25">
      <c r="B67" s="14" t="s">
        <v>3</v>
      </c>
      <c r="C67" s="15" t="s">
        <v>470</v>
      </c>
      <c r="D67" s="58"/>
      <c r="E67" s="58"/>
      <c r="F67" s="179">
        <f>'App9. Data for tables'!$F$22</f>
        <v>150</v>
      </c>
      <c r="G67" s="199">
        <f>'App9. Data for tables'!$F$78</f>
        <v>26</v>
      </c>
      <c r="H67" s="282">
        <f t="shared" si="1"/>
        <v>3900</v>
      </c>
    </row>
    <row r="68" spans="2:17" ht="16.8" x14ac:dyDescent="0.25">
      <c r="B68" s="14" t="s">
        <v>3</v>
      </c>
      <c r="C68" s="59" t="s">
        <v>207</v>
      </c>
      <c r="D68" s="179"/>
      <c r="E68" s="203"/>
      <c r="F68" s="58">
        <f>('App9. Data for tables'!$F$28*'App9. Data for tables'!$F$29)+('App9. Data for tables'!$F$30*'App9. Data for tables'!$F$31)</f>
        <v>593.75</v>
      </c>
      <c r="G68" s="199">
        <f>'App9. Data for tables'!$F$78</f>
        <v>26</v>
      </c>
      <c r="H68" s="282">
        <f t="shared" ref="H68:H99" si="2">F68*G68</f>
        <v>15437.5</v>
      </c>
    </row>
    <row r="69" spans="2:17" ht="16.8" x14ac:dyDescent="0.25">
      <c r="B69" s="14" t="s">
        <v>3</v>
      </c>
      <c r="C69" s="59" t="s">
        <v>249</v>
      </c>
      <c r="D69" s="179"/>
      <c r="E69" s="203"/>
      <c r="F69" s="58">
        <f>('App9. Data for tables'!$F$32*'App9. Data for tables'!$F$33)+('App9. Data for tables'!$F$34*'App9. Data for tables'!$F$35)</f>
        <v>886.83</v>
      </c>
      <c r="G69" s="199">
        <f>'App9. Data for tables'!$F$78</f>
        <v>26</v>
      </c>
      <c r="H69" s="282">
        <f t="shared" si="2"/>
        <v>23057.58</v>
      </c>
      <c r="J69" s="62"/>
    </row>
    <row r="70" spans="2:17" ht="16.8" x14ac:dyDescent="0.25">
      <c r="B70" s="14" t="s">
        <v>3</v>
      </c>
      <c r="C70" s="59" t="s">
        <v>251</v>
      </c>
      <c r="D70" s="58"/>
      <c r="E70" s="58"/>
      <c r="F70" s="179">
        <f>'App9. Data for tables'!$F$36+('App9. Data for tables'!$F$37*'App9. Data for tables'!$F$38)</f>
        <v>2292.8000000000002</v>
      </c>
      <c r="G70" s="199">
        <f>'App9. Data for tables'!$F$78</f>
        <v>26</v>
      </c>
      <c r="H70" s="282">
        <f t="shared" si="2"/>
        <v>59612.800000000003</v>
      </c>
      <c r="I70" s="200"/>
    </row>
    <row r="71" spans="2:17" ht="16.8" x14ac:dyDescent="0.25">
      <c r="B71" s="14" t="s">
        <v>3</v>
      </c>
      <c r="C71" s="15" t="s">
        <v>467</v>
      </c>
      <c r="D71" s="58"/>
      <c r="E71" s="58"/>
      <c r="F71" s="179">
        <f>'App9. Data for tables'!$F$39</f>
        <v>244</v>
      </c>
      <c r="G71" s="199">
        <f>'App9. Data for tables'!$F$78</f>
        <v>26</v>
      </c>
      <c r="H71" s="282">
        <f t="shared" si="2"/>
        <v>6344</v>
      </c>
      <c r="I71" s="205"/>
      <c r="K71" s="208"/>
      <c r="N71" s="208"/>
      <c r="Q71" s="208"/>
    </row>
    <row r="72" spans="2:17" ht="16.8" x14ac:dyDescent="0.25">
      <c r="B72" s="14" t="s">
        <v>3</v>
      </c>
      <c r="C72" s="15" t="s">
        <v>468</v>
      </c>
      <c r="D72" s="58"/>
      <c r="E72" s="58"/>
      <c r="F72" s="179">
        <f>('App9. Data for tables'!$F$40*'App9. Data for tables'!$F$41)</f>
        <v>49.5</v>
      </c>
      <c r="G72" s="199">
        <f>'App9. Data for tables'!$F$78</f>
        <v>26</v>
      </c>
      <c r="H72" s="282">
        <f t="shared" si="2"/>
        <v>1287</v>
      </c>
      <c r="I72" s="205"/>
      <c r="K72" s="208"/>
      <c r="N72" s="208"/>
      <c r="Q72" s="208"/>
    </row>
    <row r="73" spans="2:17" x14ac:dyDescent="0.25">
      <c r="B73" s="14" t="s">
        <v>3</v>
      </c>
      <c r="C73" s="47" t="s">
        <v>138</v>
      </c>
      <c r="D73" s="179"/>
      <c r="E73" s="201"/>
      <c r="F73" s="58">
        <f>'App9. Data for tables'!$F$42</f>
        <v>170</v>
      </c>
      <c r="G73" s="199">
        <f>'App9. Data for tables'!$F$78</f>
        <v>26</v>
      </c>
      <c r="H73" s="282">
        <f t="shared" si="2"/>
        <v>4420</v>
      </c>
      <c r="I73" s="200"/>
    </row>
    <row r="74" spans="2:17" x14ac:dyDescent="0.25">
      <c r="B74" s="14" t="s">
        <v>3</v>
      </c>
      <c r="C74" s="47" t="s">
        <v>12</v>
      </c>
      <c r="D74" s="58"/>
      <c r="E74" s="58"/>
      <c r="F74" s="179">
        <f>'App9. Data for tables'!$F$43</f>
        <v>195</v>
      </c>
      <c r="G74" s="199">
        <f>'App9. Data for tables'!$F$78</f>
        <v>26</v>
      </c>
      <c r="H74" s="282">
        <f t="shared" si="2"/>
        <v>5070</v>
      </c>
    </row>
    <row r="75" spans="2:17" ht="16.8" x14ac:dyDescent="0.25">
      <c r="B75" s="14" t="s">
        <v>3</v>
      </c>
      <c r="C75" s="47" t="s">
        <v>335</v>
      </c>
      <c r="D75" s="58"/>
      <c r="E75" s="58"/>
      <c r="F75" s="179">
        <f>('App9. Data for tables'!$F$44*'App9. Data for tables'!$F$45)</f>
        <v>361.27</v>
      </c>
      <c r="G75" s="199">
        <f>'App9. Data for tables'!$F$78</f>
        <v>26</v>
      </c>
      <c r="H75" s="282">
        <f t="shared" si="2"/>
        <v>9393.02</v>
      </c>
    </row>
    <row r="76" spans="2:17" x14ac:dyDescent="0.25">
      <c r="B76" s="14" t="s">
        <v>3</v>
      </c>
      <c r="C76" s="59" t="s">
        <v>10</v>
      </c>
      <c r="D76" s="179"/>
      <c r="E76" s="201"/>
      <c r="F76" s="58">
        <f>'App9. Data for tables'!$F$46*'App9. Data for tables'!$F$47</f>
        <v>65</v>
      </c>
      <c r="G76" s="199">
        <f>'App9. Data for tables'!$F$78</f>
        <v>26</v>
      </c>
      <c r="H76" s="282">
        <f t="shared" si="2"/>
        <v>1690</v>
      </c>
    </row>
    <row r="77" spans="2:17" ht="16.8" x14ac:dyDescent="0.25">
      <c r="B77" s="14" t="s">
        <v>3</v>
      </c>
      <c r="C77" s="47" t="s">
        <v>255</v>
      </c>
      <c r="D77" s="58"/>
      <c r="E77" s="58"/>
      <c r="F77" s="179">
        <f>('App9. Data for tables'!$F$51*'App9. Data for tables'!$F$52)</f>
        <v>9.9</v>
      </c>
      <c r="G77" s="199">
        <f>'App9. Data for tables'!$F$78</f>
        <v>26</v>
      </c>
      <c r="H77" s="282">
        <f t="shared" si="2"/>
        <v>257.40000000000003</v>
      </c>
    </row>
    <row r="78" spans="2:17" ht="16.8" x14ac:dyDescent="0.25">
      <c r="B78" s="14" t="s">
        <v>3</v>
      </c>
      <c r="C78" s="47" t="s">
        <v>342</v>
      </c>
      <c r="D78" s="58"/>
      <c r="E78" s="58"/>
      <c r="F78" s="179">
        <f>SUM('App9. Data for tables'!$F$53:$F$57)</f>
        <v>425</v>
      </c>
      <c r="G78" s="199">
        <f>'App9. Data for tables'!$F$78</f>
        <v>26</v>
      </c>
      <c r="H78" s="282">
        <f t="shared" si="2"/>
        <v>11050</v>
      </c>
    </row>
    <row r="79" spans="2:17" ht="16.8" x14ac:dyDescent="0.25">
      <c r="B79" s="14" t="s">
        <v>3</v>
      </c>
      <c r="C79" s="47" t="s">
        <v>344</v>
      </c>
      <c r="D79" s="58"/>
      <c r="E79" s="58"/>
      <c r="F79" s="179">
        <f>'App9. Data for tables'!$F$58</f>
        <v>270</v>
      </c>
      <c r="G79" s="199">
        <f>'App9. Data for tables'!$F$78</f>
        <v>26</v>
      </c>
      <c r="H79" s="282">
        <f t="shared" si="2"/>
        <v>7020</v>
      </c>
    </row>
    <row r="80" spans="2:17" ht="16.8" x14ac:dyDescent="0.25">
      <c r="B80" s="14" t="s">
        <v>3</v>
      </c>
      <c r="C80" s="47" t="s">
        <v>345</v>
      </c>
      <c r="D80" s="179"/>
      <c r="E80" s="201"/>
      <c r="F80" s="58">
        <f>'App9. Data for tables'!$F$68</f>
        <v>300</v>
      </c>
      <c r="G80" s="199">
        <f>'App9. Data for tables'!$F$78</f>
        <v>26</v>
      </c>
      <c r="H80" s="282">
        <f t="shared" si="2"/>
        <v>7800</v>
      </c>
      <c r="I80" s="200"/>
    </row>
    <row r="81" spans="1:17" x14ac:dyDescent="0.25">
      <c r="B81" s="14" t="s">
        <v>3</v>
      </c>
      <c r="C81" s="47" t="s">
        <v>112</v>
      </c>
      <c r="D81" s="58"/>
      <c r="E81" s="199"/>
      <c r="F81" s="179">
        <f>'App9. Data for tables'!$F$69</f>
        <v>190</v>
      </c>
      <c r="G81" s="199">
        <f>'App9. Data for tables'!$F$78</f>
        <v>26</v>
      </c>
      <c r="H81" s="282">
        <f t="shared" si="2"/>
        <v>4940</v>
      </c>
    </row>
    <row r="82" spans="1:17" x14ac:dyDescent="0.25">
      <c r="B82" s="14" t="s">
        <v>3</v>
      </c>
      <c r="C82" s="47" t="s">
        <v>51</v>
      </c>
      <c r="D82" s="58"/>
      <c r="E82" s="58"/>
      <c r="F82" s="179">
        <f>'App9. Data for tables'!$F$70</f>
        <v>200</v>
      </c>
      <c r="G82" s="199">
        <f>'App9. Data for tables'!$F$78</f>
        <v>26</v>
      </c>
      <c r="H82" s="282">
        <f t="shared" si="2"/>
        <v>5200</v>
      </c>
    </row>
    <row r="83" spans="1:17" x14ac:dyDescent="0.25">
      <c r="B83" s="14" t="s">
        <v>3</v>
      </c>
      <c r="C83" s="47" t="s">
        <v>56</v>
      </c>
      <c r="D83" s="58"/>
      <c r="E83" s="58"/>
      <c r="F83" s="179">
        <f>'App9. Data for tables'!$F$71</f>
        <v>600</v>
      </c>
      <c r="G83" s="199">
        <f>'App9. Data for tables'!$F$78</f>
        <v>26</v>
      </c>
      <c r="H83" s="282">
        <f t="shared" si="2"/>
        <v>15600</v>
      </c>
    </row>
    <row r="84" spans="1:17" ht="16.8" x14ac:dyDescent="0.25">
      <c r="B84" s="14" t="s">
        <v>3</v>
      </c>
      <c r="C84" s="47" t="s">
        <v>348</v>
      </c>
      <c r="D84" s="58"/>
      <c r="E84" s="58"/>
      <c r="F84" s="179">
        <f>'App9. Data for tables'!$F$72</f>
        <v>750</v>
      </c>
      <c r="G84" s="199">
        <f>'App9. Data for tables'!$F$78</f>
        <v>26</v>
      </c>
      <c r="H84" s="282">
        <f t="shared" si="2"/>
        <v>19500</v>
      </c>
    </row>
    <row r="85" spans="1:17" x14ac:dyDescent="0.25">
      <c r="B85" s="14" t="s">
        <v>3</v>
      </c>
      <c r="C85" s="15" t="s">
        <v>471</v>
      </c>
      <c r="D85" s="179">
        <f>'App9. Data for tables'!$F$59</f>
        <v>62</v>
      </c>
      <c r="E85" s="210">
        <f>'App9. Data for tables'!$F$7</f>
        <v>39</v>
      </c>
      <c r="F85" s="58">
        <f>D85*E85</f>
        <v>2418</v>
      </c>
      <c r="G85" s="199">
        <f>'App9. Data for tables'!$F$78</f>
        <v>26</v>
      </c>
      <c r="H85" s="282">
        <f t="shared" si="2"/>
        <v>62868</v>
      </c>
    </row>
    <row r="86" spans="1:17" x14ac:dyDescent="0.25">
      <c r="B86" s="14" t="s">
        <v>3</v>
      </c>
      <c r="C86" s="15" t="s">
        <v>472</v>
      </c>
      <c r="D86" s="179">
        <f>'App9. Data for tables'!$F$60</f>
        <v>11</v>
      </c>
      <c r="E86" s="210">
        <f>'App9. Data for tables'!$F$7</f>
        <v>39</v>
      </c>
      <c r="F86" s="58">
        <f>D86*E86</f>
        <v>429</v>
      </c>
      <c r="G86" s="199">
        <f>'App9. Data for tables'!$F$78</f>
        <v>26</v>
      </c>
      <c r="H86" s="282">
        <f t="shared" si="2"/>
        <v>11154</v>
      </c>
    </row>
    <row r="87" spans="1:17" x14ac:dyDescent="0.25">
      <c r="B87" s="14" t="s">
        <v>3</v>
      </c>
      <c r="C87" s="15" t="s">
        <v>473</v>
      </c>
      <c r="D87" s="179">
        <f>'App9. Data for tables'!$F$61</f>
        <v>11</v>
      </c>
      <c r="E87" s="210">
        <f>'App9. Data for tables'!$F$7</f>
        <v>39</v>
      </c>
      <c r="F87" s="58">
        <f>D87*E87</f>
        <v>429</v>
      </c>
      <c r="G87" s="199">
        <f>'App9. Data for tables'!$F$78</f>
        <v>26</v>
      </c>
      <c r="H87" s="282">
        <f t="shared" si="2"/>
        <v>11154</v>
      </c>
    </row>
    <row r="88" spans="1:17" x14ac:dyDescent="0.25">
      <c r="B88" s="14" t="s">
        <v>3</v>
      </c>
      <c r="C88" s="59" t="s">
        <v>62</v>
      </c>
      <c r="D88" s="179">
        <f>'App9. Data for tables'!$F$67</f>
        <v>199</v>
      </c>
      <c r="E88" s="210">
        <f>'App9. Data for tables'!$F$7</f>
        <v>39</v>
      </c>
      <c r="F88" s="58">
        <f>D88*E88</f>
        <v>7761</v>
      </c>
      <c r="G88" s="199">
        <f>'App9. Data for tables'!$F$78</f>
        <v>26</v>
      </c>
      <c r="H88" s="282">
        <f t="shared" si="2"/>
        <v>201786</v>
      </c>
    </row>
    <row r="89" spans="1:17" s="236" customFormat="1" ht="36" customHeight="1" x14ac:dyDescent="0.25">
      <c r="A89" s="14"/>
      <c r="B89" s="14" t="s">
        <v>21</v>
      </c>
      <c r="C89" s="15" t="s">
        <v>332</v>
      </c>
      <c r="D89" s="282"/>
      <c r="E89" s="282"/>
      <c r="F89" s="281">
        <f>'App9. Data for tables'!$G$22</f>
        <v>150</v>
      </c>
      <c r="G89" s="235">
        <f>'App9. Data for tables'!$G$78</f>
        <v>26</v>
      </c>
      <c r="H89" s="282">
        <f t="shared" si="2"/>
        <v>3900</v>
      </c>
      <c r="I89" s="12"/>
    </row>
    <row r="90" spans="1:17" ht="16.8" x14ac:dyDescent="0.3">
      <c r="B90" s="62" t="s">
        <v>21</v>
      </c>
      <c r="C90" s="59" t="s">
        <v>207</v>
      </c>
      <c r="D90" s="179"/>
      <c r="E90" s="203"/>
      <c r="F90" s="58">
        <f>('App9. Data for tables'!$G$28*'App9. Data for tables'!$G$29)+('App9. Data for tables'!$G$30*'App9. Data for tables'!$G$31)</f>
        <v>878.75</v>
      </c>
      <c r="G90" s="199">
        <f>'App9. Data for tables'!$G$78</f>
        <v>26</v>
      </c>
      <c r="H90" s="58">
        <f t="shared" si="2"/>
        <v>22847.5</v>
      </c>
    </row>
    <row r="91" spans="1:17" ht="16.8" x14ac:dyDescent="0.25">
      <c r="B91" s="14" t="s">
        <v>21</v>
      </c>
      <c r="C91" s="59" t="s">
        <v>249</v>
      </c>
      <c r="D91" s="179"/>
      <c r="E91" s="203"/>
      <c r="F91" s="58">
        <f>('App9. Data for tables'!$G$32*'App9. Data for tables'!$G$33)+('App9. Data for tables'!$G$34*'App9. Data for tables'!$G$35)</f>
        <v>1124.33</v>
      </c>
      <c r="G91" s="199">
        <f>'App9. Data for tables'!$G$78</f>
        <v>26</v>
      </c>
      <c r="H91" s="58">
        <f t="shared" si="2"/>
        <v>29232.579999999998</v>
      </c>
    </row>
    <row r="92" spans="1:17" ht="16.8" x14ac:dyDescent="0.3">
      <c r="B92" s="62" t="s">
        <v>21</v>
      </c>
      <c r="C92" s="59" t="s">
        <v>251</v>
      </c>
      <c r="D92" s="58"/>
      <c r="E92" s="58"/>
      <c r="F92" s="179">
        <f>'App9. Data for tables'!$G$36+('App9. Data for tables'!$G$37*'App9. Data for tables'!$G$38)</f>
        <v>2292.8000000000002</v>
      </c>
      <c r="G92" s="199">
        <f>'App9. Data for tables'!$G$78</f>
        <v>26</v>
      </c>
      <c r="H92" s="58">
        <f t="shared" si="2"/>
        <v>59612.800000000003</v>
      </c>
    </row>
    <row r="93" spans="1:17" ht="16.8" x14ac:dyDescent="0.25">
      <c r="B93" s="14" t="s">
        <v>21</v>
      </c>
      <c r="C93" s="15" t="s">
        <v>467</v>
      </c>
      <c r="D93" s="58"/>
      <c r="E93" s="58"/>
      <c r="F93" s="179">
        <f>'App9. Data for tables'!$G$39</f>
        <v>244</v>
      </c>
      <c r="G93" s="199">
        <f>'App9. Data for tables'!$G$78</f>
        <v>26</v>
      </c>
      <c r="H93" s="58">
        <f t="shared" si="2"/>
        <v>6344</v>
      </c>
      <c r="I93" s="205"/>
      <c r="K93" s="208"/>
      <c r="N93" s="208"/>
      <c r="Q93" s="208"/>
    </row>
    <row r="94" spans="1:17" ht="16.8" x14ac:dyDescent="0.25">
      <c r="B94" s="62" t="s">
        <v>21</v>
      </c>
      <c r="C94" s="15" t="s">
        <v>468</v>
      </c>
      <c r="D94" s="58"/>
      <c r="E94" s="58"/>
      <c r="F94" s="179">
        <f>('App9. Data for tables'!$G$40*'App9. Data for tables'!$G$41)</f>
        <v>49.5</v>
      </c>
      <c r="G94" s="199">
        <f>'App9. Data for tables'!$G$78</f>
        <v>26</v>
      </c>
      <c r="H94" s="58">
        <f t="shared" si="2"/>
        <v>1287</v>
      </c>
      <c r="I94" s="205"/>
      <c r="K94" s="208"/>
      <c r="N94" s="208"/>
      <c r="Q94" s="208"/>
    </row>
    <row r="95" spans="1:17" x14ac:dyDescent="0.25">
      <c r="B95" s="14" t="s">
        <v>21</v>
      </c>
      <c r="C95" s="47" t="s">
        <v>138</v>
      </c>
      <c r="D95" s="179"/>
      <c r="E95" s="201"/>
      <c r="F95" s="58">
        <f>'App9. Data for tables'!$G$42</f>
        <v>170</v>
      </c>
      <c r="G95" s="199">
        <f>'App9. Data for tables'!$G$78</f>
        <v>26</v>
      </c>
      <c r="H95" s="58">
        <f t="shared" si="2"/>
        <v>4420</v>
      </c>
    </row>
    <row r="96" spans="1:17" x14ac:dyDescent="0.3">
      <c r="B96" s="62" t="s">
        <v>21</v>
      </c>
      <c r="C96" s="47" t="s">
        <v>12</v>
      </c>
      <c r="D96" s="58"/>
      <c r="E96" s="58"/>
      <c r="F96" s="179">
        <f>'App9. Data for tables'!$G$43</f>
        <v>195</v>
      </c>
      <c r="G96" s="199">
        <f>'App9. Data for tables'!$G$78</f>
        <v>26</v>
      </c>
      <c r="H96" s="58">
        <f t="shared" si="2"/>
        <v>5070</v>
      </c>
    </row>
    <row r="97" spans="2:8" ht="16.8" x14ac:dyDescent="0.25">
      <c r="B97" s="14" t="s">
        <v>21</v>
      </c>
      <c r="C97" s="47" t="s">
        <v>338</v>
      </c>
      <c r="D97" s="58"/>
      <c r="E97" s="58"/>
      <c r="F97" s="179">
        <f>('App9. Data for tables'!$G$44*'App9. Data for tables'!$G$45)</f>
        <v>361.27</v>
      </c>
      <c r="G97" s="199">
        <f>'App9. Data for tables'!$G$78</f>
        <v>26</v>
      </c>
      <c r="H97" s="58">
        <f t="shared" si="2"/>
        <v>9393.02</v>
      </c>
    </row>
    <row r="98" spans="2:8" x14ac:dyDescent="0.3">
      <c r="B98" s="62" t="s">
        <v>21</v>
      </c>
      <c r="C98" s="59" t="s">
        <v>10</v>
      </c>
      <c r="D98" s="179"/>
      <c r="E98" s="201"/>
      <c r="F98" s="58">
        <f>'App9. Data for tables'!$G$46*'App9. Data for tables'!$G$47</f>
        <v>65</v>
      </c>
      <c r="G98" s="199">
        <f>'App9. Data for tables'!$G$78</f>
        <v>26</v>
      </c>
      <c r="H98" s="58">
        <f t="shared" si="2"/>
        <v>1690</v>
      </c>
    </row>
    <row r="99" spans="2:8" ht="16.8" x14ac:dyDescent="0.25">
      <c r="B99" s="14" t="s">
        <v>21</v>
      </c>
      <c r="C99" s="47" t="s">
        <v>255</v>
      </c>
      <c r="D99" s="58"/>
      <c r="E99" s="58"/>
      <c r="F99" s="179">
        <f>('App9. Data for tables'!$G$51*'App9. Data for tables'!$G$52)</f>
        <v>9.9</v>
      </c>
      <c r="G99" s="199">
        <f>'App9. Data for tables'!$G$78</f>
        <v>26</v>
      </c>
      <c r="H99" s="58">
        <f t="shared" si="2"/>
        <v>257.40000000000003</v>
      </c>
    </row>
    <row r="100" spans="2:8" ht="16.8" x14ac:dyDescent="0.3">
      <c r="B100" s="62" t="s">
        <v>21</v>
      </c>
      <c r="C100" s="47" t="s">
        <v>342</v>
      </c>
      <c r="D100" s="58"/>
      <c r="E100" s="58"/>
      <c r="F100" s="179">
        <f>SUM('App9. Data for tables'!$G$53:$G$57)</f>
        <v>425</v>
      </c>
      <c r="G100" s="199">
        <f>'App9. Data for tables'!$G$78</f>
        <v>26</v>
      </c>
      <c r="H100" s="58">
        <f t="shared" ref="H100:H110" si="3">F100*G100</f>
        <v>11050</v>
      </c>
    </row>
    <row r="101" spans="2:8" ht="16.8" x14ac:dyDescent="0.25">
      <c r="B101" s="14" t="s">
        <v>21</v>
      </c>
      <c r="C101" s="47" t="s">
        <v>344</v>
      </c>
      <c r="D101" s="58"/>
      <c r="E101" s="58"/>
      <c r="F101" s="179">
        <f>'App9. Data for tables'!$G$58</f>
        <v>270</v>
      </c>
      <c r="G101" s="199">
        <f>'App9. Data for tables'!$G$78</f>
        <v>26</v>
      </c>
      <c r="H101" s="58">
        <f t="shared" si="3"/>
        <v>7020</v>
      </c>
    </row>
    <row r="102" spans="2:8" ht="16.8" x14ac:dyDescent="0.3">
      <c r="B102" s="62" t="s">
        <v>21</v>
      </c>
      <c r="C102" s="47" t="s">
        <v>345</v>
      </c>
      <c r="D102" s="179"/>
      <c r="E102" s="201"/>
      <c r="F102" s="58">
        <f>'App9. Data for tables'!$G$68</f>
        <v>300</v>
      </c>
      <c r="G102" s="199">
        <f>'App9. Data for tables'!$G$78</f>
        <v>26</v>
      </c>
      <c r="H102" s="58">
        <f t="shared" si="3"/>
        <v>7800</v>
      </c>
    </row>
    <row r="103" spans="2:8" x14ac:dyDescent="0.25">
      <c r="B103" s="14" t="s">
        <v>21</v>
      </c>
      <c r="C103" s="47" t="s">
        <v>112</v>
      </c>
      <c r="D103" s="58"/>
      <c r="E103" s="199"/>
      <c r="F103" s="179">
        <f>'App9. Data for tables'!$G$69</f>
        <v>190</v>
      </c>
      <c r="G103" s="199">
        <f>'App9. Data for tables'!$G$78</f>
        <v>26</v>
      </c>
      <c r="H103" s="58">
        <f t="shared" si="3"/>
        <v>4940</v>
      </c>
    </row>
    <row r="104" spans="2:8" x14ac:dyDescent="0.3">
      <c r="B104" s="62" t="s">
        <v>21</v>
      </c>
      <c r="C104" s="47" t="s">
        <v>51</v>
      </c>
      <c r="D104" s="58"/>
      <c r="E104" s="58"/>
      <c r="F104" s="179">
        <f>'App9. Data for tables'!$G$70</f>
        <v>200</v>
      </c>
      <c r="G104" s="199">
        <f>'App9. Data for tables'!$G$78</f>
        <v>26</v>
      </c>
      <c r="H104" s="58">
        <f t="shared" si="3"/>
        <v>5200</v>
      </c>
    </row>
    <row r="105" spans="2:8" x14ac:dyDescent="0.25">
      <c r="B105" s="14" t="s">
        <v>21</v>
      </c>
      <c r="C105" s="47" t="s">
        <v>56</v>
      </c>
      <c r="D105" s="58"/>
      <c r="E105" s="58"/>
      <c r="F105" s="179">
        <f>'App9. Data for tables'!$G$71</f>
        <v>600</v>
      </c>
      <c r="G105" s="199">
        <f>'App9. Data for tables'!$G$78</f>
        <v>26</v>
      </c>
      <c r="H105" s="58">
        <f t="shared" si="3"/>
        <v>15600</v>
      </c>
    </row>
    <row r="106" spans="2:8" ht="16.8" x14ac:dyDescent="0.3">
      <c r="B106" s="62" t="s">
        <v>21</v>
      </c>
      <c r="C106" s="47" t="s">
        <v>348</v>
      </c>
      <c r="D106" s="58"/>
      <c r="E106" s="58"/>
      <c r="F106" s="179">
        <f>'App9. Data for tables'!$G$72</f>
        <v>750</v>
      </c>
      <c r="G106" s="199">
        <f>'App9. Data for tables'!$G$78</f>
        <v>26</v>
      </c>
      <c r="H106" s="58">
        <f t="shared" si="3"/>
        <v>19500</v>
      </c>
    </row>
    <row r="107" spans="2:8" x14ac:dyDescent="0.25">
      <c r="B107" s="14" t="s">
        <v>21</v>
      </c>
      <c r="C107" s="15" t="s">
        <v>471</v>
      </c>
      <c r="D107" s="179">
        <f>'App9. Data for tables'!$G$59</f>
        <v>62</v>
      </c>
      <c r="E107" s="203">
        <f>'App9. Data for tables'!$G$7</f>
        <v>52</v>
      </c>
      <c r="F107" s="58">
        <f>D107*E107</f>
        <v>3224</v>
      </c>
      <c r="G107" s="199">
        <f>'App9. Data for tables'!$G$78</f>
        <v>26</v>
      </c>
      <c r="H107" s="58">
        <f t="shared" si="3"/>
        <v>83824</v>
      </c>
    </row>
    <row r="108" spans="2:8" x14ac:dyDescent="0.25">
      <c r="B108" s="62" t="s">
        <v>21</v>
      </c>
      <c r="C108" s="15" t="s">
        <v>472</v>
      </c>
      <c r="D108" s="179">
        <f>'App9. Data for tables'!$G$60</f>
        <v>11</v>
      </c>
      <c r="E108" s="203">
        <f>'App9. Data for tables'!$G$7</f>
        <v>52</v>
      </c>
      <c r="F108" s="58">
        <f>D108*E108</f>
        <v>572</v>
      </c>
      <c r="G108" s="199">
        <f>'App9. Data for tables'!$G$78</f>
        <v>26</v>
      </c>
      <c r="H108" s="58">
        <f t="shared" si="3"/>
        <v>14872</v>
      </c>
    </row>
    <row r="109" spans="2:8" x14ac:dyDescent="0.25">
      <c r="B109" s="14" t="s">
        <v>21</v>
      </c>
      <c r="C109" s="15" t="s">
        <v>473</v>
      </c>
      <c r="D109" s="179">
        <f>'App9. Data for tables'!$G$61</f>
        <v>11</v>
      </c>
      <c r="E109" s="203">
        <f>'App9. Data for tables'!$G$7</f>
        <v>52</v>
      </c>
      <c r="F109" s="58">
        <f>D109*E109</f>
        <v>572</v>
      </c>
      <c r="G109" s="199">
        <f>'App9. Data for tables'!$G$78</f>
        <v>26</v>
      </c>
      <c r="H109" s="58">
        <f t="shared" si="3"/>
        <v>14872</v>
      </c>
    </row>
    <row r="110" spans="2:8" x14ac:dyDescent="0.3">
      <c r="B110" s="222" t="s">
        <v>21</v>
      </c>
      <c r="C110" s="212" t="s">
        <v>62</v>
      </c>
      <c r="D110" s="213">
        <f>'App9. Data for tables'!$G$67</f>
        <v>239</v>
      </c>
      <c r="E110" s="214">
        <f>'App9. Data for tables'!$G$7</f>
        <v>52</v>
      </c>
      <c r="F110" s="180">
        <f>D110*E110</f>
        <v>12428</v>
      </c>
      <c r="G110" s="215">
        <f>'App9. Data for tables'!$G$78</f>
        <v>26</v>
      </c>
      <c r="H110" s="180">
        <f t="shared" si="3"/>
        <v>323128</v>
      </c>
    </row>
    <row r="111" spans="2:8" x14ac:dyDescent="0.3">
      <c r="B111" s="59" t="s">
        <v>118</v>
      </c>
      <c r="C111" s="179"/>
      <c r="D111" s="203"/>
      <c r="E111" s="58"/>
      <c r="F111" s="199"/>
      <c r="G111" s="58"/>
      <c r="H111" s="61"/>
    </row>
    <row r="112" spans="2:8" x14ac:dyDescent="0.3">
      <c r="B112" s="43" t="s">
        <v>208</v>
      </c>
      <c r="C112" s="216"/>
      <c r="H112" s="61"/>
    </row>
    <row r="113" spans="2:8" x14ac:dyDescent="0.3">
      <c r="B113" s="43" t="s">
        <v>236</v>
      </c>
      <c r="C113" s="216"/>
      <c r="H113" s="61"/>
    </row>
    <row r="114" spans="2:8" x14ac:dyDescent="0.3">
      <c r="B114" s="43" t="s">
        <v>301</v>
      </c>
      <c r="C114" s="216"/>
      <c r="H114" s="61"/>
    </row>
    <row r="115" spans="2:8" x14ac:dyDescent="0.3">
      <c r="B115" s="43" t="s">
        <v>250</v>
      </c>
      <c r="C115" s="216"/>
      <c r="H115" s="61"/>
    </row>
    <row r="116" spans="2:8" x14ac:dyDescent="0.3">
      <c r="B116" s="43" t="s">
        <v>252</v>
      </c>
      <c r="H116" s="61"/>
    </row>
    <row r="117" spans="2:8" x14ac:dyDescent="0.3">
      <c r="B117" s="43" t="s">
        <v>253</v>
      </c>
      <c r="H117" s="61"/>
    </row>
    <row r="118" spans="2:8" ht="28.95" customHeight="1" x14ac:dyDescent="0.3">
      <c r="B118" s="327" t="s">
        <v>302</v>
      </c>
      <c r="C118" s="327"/>
      <c r="D118" s="327"/>
      <c r="E118" s="327"/>
      <c r="F118" s="327"/>
      <c r="G118" s="327"/>
      <c r="H118" s="327"/>
    </row>
    <row r="119" spans="2:8" x14ac:dyDescent="0.3">
      <c r="B119" s="43" t="s">
        <v>336</v>
      </c>
      <c r="H119" s="61"/>
    </row>
    <row r="120" spans="2:8" ht="16.95" customHeight="1" x14ac:dyDescent="0.3">
      <c r="B120" s="327" t="s">
        <v>337</v>
      </c>
      <c r="C120" s="327"/>
      <c r="D120" s="327"/>
      <c r="E120" s="327"/>
      <c r="F120" s="327"/>
      <c r="G120" s="327"/>
      <c r="H120" s="327"/>
    </row>
    <row r="121" spans="2:8" x14ac:dyDescent="0.3">
      <c r="B121" s="43" t="s">
        <v>340</v>
      </c>
      <c r="H121" s="61"/>
    </row>
    <row r="122" spans="2:8" x14ac:dyDescent="0.3">
      <c r="B122" s="43" t="s">
        <v>341</v>
      </c>
      <c r="H122" s="61"/>
    </row>
    <row r="123" spans="2:8" x14ac:dyDescent="0.3">
      <c r="B123" s="43" t="s">
        <v>343</v>
      </c>
      <c r="H123" s="61"/>
    </row>
    <row r="124" spans="2:8" x14ac:dyDescent="0.3">
      <c r="B124" s="43" t="s">
        <v>346</v>
      </c>
      <c r="H124" s="61"/>
    </row>
    <row r="125" spans="2:8" x14ac:dyDescent="0.3">
      <c r="B125" s="43" t="s">
        <v>347</v>
      </c>
      <c r="H125" s="61"/>
    </row>
  </sheetData>
  <protectedRanges>
    <protectedRange sqref="C111:E111 D4:F110" name="Range2"/>
  </protectedRanges>
  <mergeCells count="3">
    <mergeCell ref="B2:H2"/>
    <mergeCell ref="B118:H118"/>
    <mergeCell ref="B120:H120"/>
  </mergeCells>
  <phoneticPr fontId="18" type="noConversion"/>
  <pageMargins left="0.7" right="0.7" top="0.75" bottom="0.75" header="0.3" footer="0.3"/>
  <pageSetup orientation="portrait"/>
  <ignoredErrors>
    <ignoredError sqref="D9:D11 D93:E94 F103 D107:D110 F107:F110 F15 F45:F48 F29:F32 D71:E72 D80:E80 D102:F102 D104:F106 D63:E65 D82:E84 F12:F13 D55:E56 F4 F42:F43 D59:E60 F66:F67 F35 F90:F92 F51 F18 F39:F40 F41 F5:F8 F9:F10 F19:F27 F33 F36:F37 F58:F65 F52:F57 F68:F70 F71:F84 D85:E88 F85:F88 F93:F101 F89" unlockedFormula="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J36"/>
  <sheetViews>
    <sheetView workbookViewId="0">
      <selection activeCell="B2" sqref="B2:G2"/>
    </sheetView>
  </sheetViews>
  <sheetFormatPr defaultColWidth="9.109375" defaultRowHeight="13.8" x14ac:dyDescent="0.3"/>
  <cols>
    <col min="1" max="1" width="6.6640625" style="61" customWidth="1"/>
    <col min="2" max="2" width="44.6640625" style="59" customWidth="1"/>
    <col min="3" max="3" width="13.44140625" style="59" customWidth="1"/>
    <col min="4" max="4" width="12.6640625" style="59" customWidth="1"/>
    <col min="5" max="5" width="13.109375" style="59" customWidth="1"/>
    <col min="6" max="6" width="12.6640625" style="59" customWidth="1"/>
    <col min="7" max="7" width="14.44140625" style="59" customWidth="1"/>
    <col min="8" max="8" width="4.44140625" style="59" customWidth="1"/>
    <col min="9" max="10" width="9.109375" style="59"/>
    <col min="11" max="16384" width="9.109375" style="61"/>
  </cols>
  <sheetData>
    <row r="2" spans="2:10" ht="41.25" customHeight="1" x14ac:dyDescent="0.3">
      <c r="B2" s="328" t="s">
        <v>475</v>
      </c>
      <c r="C2" s="328"/>
      <c r="D2" s="328"/>
      <c r="E2" s="328"/>
      <c r="F2" s="328"/>
      <c r="G2" s="328"/>
    </row>
    <row r="3" spans="2:10" ht="27.6" x14ac:dyDescent="0.3">
      <c r="B3" s="290" t="s">
        <v>280</v>
      </c>
      <c r="C3" s="287" t="s">
        <v>26</v>
      </c>
      <c r="D3" s="287" t="s">
        <v>23</v>
      </c>
      <c r="E3" s="287" t="s">
        <v>27</v>
      </c>
      <c r="F3" s="287" t="s">
        <v>24</v>
      </c>
      <c r="G3" s="288" t="s">
        <v>28</v>
      </c>
    </row>
    <row r="4" spans="2:10" x14ac:dyDescent="0.3">
      <c r="B4" s="47" t="s">
        <v>331</v>
      </c>
      <c r="C4" s="58"/>
      <c r="D4" s="58"/>
      <c r="E4" s="179">
        <f>'App9. Data for tables'!$H$22</f>
        <v>150</v>
      </c>
      <c r="F4" s="199">
        <f>'App9. Data for tables'!$H$78</f>
        <v>26</v>
      </c>
      <c r="G4" s="58">
        <f t="shared" ref="G4:G25" si="0">E4*F4</f>
        <v>3900</v>
      </c>
      <c r="I4" s="61"/>
      <c r="J4" s="61"/>
    </row>
    <row r="5" spans="2:10" ht="16.8" x14ac:dyDescent="0.3">
      <c r="B5" s="59" t="s">
        <v>209</v>
      </c>
      <c r="C5" s="179"/>
      <c r="D5" s="203"/>
      <c r="E5" s="58">
        <f>('App9. Data for tables'!$H$28*'App9. Data for tables'!$H$29)+('App9. Data for tables'!$H$30*'App9. Data for tables'!$H$31)</f>
        <v>1068.75</v>
      </c>
      <c r="F5" s="199">
        <f>'App9. Data for tables'!$H$78</f>
        <v>26</v>
      </c>
      <c r="G5" s="58">
        <f t="shared" si="0"/>
        <v>27787.5</v>
      </c>
    </row>
    <row r="6" spans="2:10" ht="16.8" x14ac:dyDescent="0.3">
      <c r="B6" s="59" t="s">
        <v>256</v>
      </c>
      <c r="C6" s="179"/>
      <c r="D6" s="203"/>
      <c r="E6" s="58">
        <f>('App9. Data for tables'!$H$32*'App9. Data for tables'!$H$33)</f>
        <v>1425</v>
      </c>
      <c r="F6" s="199">
        <f>'App9. Data for tables'!$H$78</f>
        <v>26</v>
      </c>
      <c r="G6" s="58">
        <f t="shared" si="0"/>
        <v>37050</v>
      </c>
    </row>
    <row r="7" spans="2:10" ht="16.8" x14ac:dyDescent="0.3">
      <c r="B7" s="59" t="s">
        <v>258</v>
      </c>
      <c r="C7" s="58"/>
      <c r="D7" s="203"/>
      <c r="E7" s="179">
        <f>'App9. Data for tables'!$H$36+('App9. Data for tables'!$H$37*'App9. Data for tables'!$H$38)</f>
        <v>2292.8000000000002</v>
      </c>
      <c r="F7" s="199">
        <f>'App9. Data for tables'!$H$78</f>
        <v>26</v>
      </c>
      <c r="G7" s="58">
        <f t="shared" si="0"/>
        <v>59612.800000000003</v>
      </c>
    </row>
    <row r="8" spans="2:10" ht="16.8" x14ac:dyDescent="0.25">
      <c r="B8" s="15" t="s">
        <v>476</v>
      </c>
      <c r="C8" s="179"/>
      <c r="D8" s="201"/>
      <c r="E8" s="58">
        <f>'App9. Data for tables'!$H$39</f>
        <v>244</v>
      </c>
      <c r="F8" s="199">
        <f>'App9. Data for tables'!$H$78</f>
        <v>26</v>
      </c>
      <c r="G8" s="58">
        <f t="shared" si="0"/>
        <v>6344</v>
      </c>
    </row>
    <row r="9" spans="2:10" ht="16.8" x14ac:dyDescent="0.25">
      <c r="B9" s="15" t="s">
        <v>477</v>
      </c>
      <c r="C9" s="179"/>
      <c r="D9" s="201"/>
      <c r="E9" s="58">
        <f>('App9. Data for tables'!$H$40*'App9. Data for tables'!$H$41)</f>
        <v>49.5</v>
      </c>
      <c r="F9" s="199">
        <f>'App9. Data for tables'!$H$78</f>
        <v>26</v>
      </c>
      <c r="G9" s="58">
        <f t="shared" si="0"/>
        <v>1287</v>
      </c>
    </row>
    <row r="10" spans="2:10" x14ac:dyDescent="0.3">
      <c r="B10" s="47" t="s">
        <v>138</v>
      </c>
      <c r="C10" s="179"/>
      <c r="D10" s="201"/>
      <c r="E10" s="179">
        <f>'App9. Data for tables'!$H$42</f>
        <v>170</v>
      </c>
      <c r="F10" s="199">
        <f>'App9. Data for tables'!$H$78</f>
        <v>26</v>
      </c>
      <c r="G10" s="58">
        <f t="shared" si="0"/>
        <v>4420</v>
      </c>
    </row>
    <row r="11" spans="2:10" x14ac:dyDescent="0.3">
      <c r="B11" s="47" t="s">
        <v>12</v>
      </c>
      <c r="C11" s="58"/>
      <c r="D11" s="58"/>
      <c r="E11" s="179">
        <f>'App9. Data for tables'!$H$43</f>
        <v>195</v>
      </c>
      <c r="F11" s="199">
        <f>'App9. Data for tables'!$H$78</f>
        <v>26</v>
      </c>
      <c r="G11" s="58">
        <f t="shared" si="0"/>
        <v>5070</v>
      </c>
    </row>
    <row r="12" spans="2:10" ht="16.8" x14ac:dyDescent="0.3">
      <c r="B12" s="47" t="s">
        <v>300</v>
      </c>
      <c r="C12" s="58"/>
      <c r="D12" s="58"/>
      <c r="E12" s="179">
        <f>('App9. Data for tables'!$H$44*'App9. Data for tables'!$H$45)</f>
        <v>361.27</v>
      </c>
      <c r="F12" s="199">
        <f>'App9. Data for tables'!$H$78</f>
        <v>26</v>
      </c>
      <c r="G12" s="58">
        <f t="shared" si="0"/>
        <v>9393.02</v>
      </c>
    </row>
    <row r="13" spans="2:10" x14ac:dyDescent="0.3">
      <c r="B13" s="59" t="s">
        <v>10</v>
      </c>
      <c r="C13" s="179"/>
      <c r="D13" s="201"/>
      <c r="E13" s="58">
        <f>'App9. Data for tables'!$H$46*'App9. Data for tables'!$H$47</f>
        <v>65</v>
      </c>
      <c r="F13" s="199">
        <f>'App9. Data for tables'!$H$78</f>
        <v>26</v>
      </c>
      <c r="G13" s="58">
        <f t="shared" si="0"/>
        <v>1690</v>
      </c>
    </row>
    <row r="14" spans="2:10" ht="16.8" x14ac:dyDescent="0.3">
      <c r="B14" s="47" t="s">
        <v>163</v>
      </c>
      <c r="C14" s="58"/>
      <c r="D14" s="58"/>
      <c r="E14" s="179">
        <f>('App9. Data for tables'!$H$51*'App9. Data for tables'!$H$52)</f>
        <v>9.9</v>
      </c>
      <c r="F14" s="199">
        <f>'App9. Data for tables'!$H$78</f>
        <v>26</v>
      </c>
      <c r="G14" s="58">
        <f t="shared" si="0"/>
        <v>257.40000000000003</v>
      </c>
    </row>
    <row r="15" spans="2:10" ht="16.8" x14ac:dyDescent="0.3">
      <c r="B15" s="47" t="s">
        <v>299</v>
      </c>
      <c r="C15" s="58"/>
      <c r="D15" s="58"/>
      <c r="E15" s="179">
        <f>SUM('App9. Data for tables'!$H$53:$H$57)</f>
        <v>425</v>
      </c>
      <c r="F15" s="199">
        <f>'App9. Data for tables'!$H$78</f>
        <v>26</v>
      </c>
      <c r="G15" s="58">
        <f t="shared" si="0"/>
        <v>11050</v>
      </c>
    </row>
    <row r="16" spans="2:10" ht="16.8" x14ac:dyDescent="0.3">
      <c r="B16" s="47" t="s">
        <v>298</v>
      </c>
      <c r="C16" s="58"/>
      <c r="D16" s="58"/>
      <c r="E16" s="179">
        <f>'App9. Data for tables'!$H$58</f>
        <v>270</v>
      </c>
      <c r="F16" s="199">
        <f>'App9. Data for tables'!$H$78</f>
        <v>26</v>
      </c>
      <c r="G16" s="58">
        <f t="shared" si="0"/>
        <v>7020</v>
      </c>
    </row>
    <row r="17" spans="2:7" ht="16.8" x14ac:dyDescent="0.3">
      <c r="B17" s="47" t="s">
        <v>260</v>
      </c>
      <c r="C17" s="179"/>
      <c r="D17" s="201"/>
      <c r="E17" s="58">
        <f>'App9. Data for tables'!$H$68</f>
        <v>300</v>
      </c>
      <c r="F17" s="199">
        <f>'App9. Data for tables'!$H$78</f>
        <v>26</v>
      </c>
      <c r="G17" s="58">
        <f t="shared" si="0"/>
        <v>7800</v>
      </c>
    </row>
    <row r="18" spans="2:7" x14ac:dyDescent="0.3">
      <c r="B18" s="47" t="s">
        <v>112</v>
      </c>
      <c r="C18" s="58"/>
      <c r="D18" s="199"/>
      <c r="E18" s="179">
        <f>'App9. Data for tables'!$H$69</f>
        <v>190</v>
      </c>
      <c r="F18" s="199">
        <f>'App9. Data for tables'!$H$78</f>
        <v>26</v>
      </c>
      <c r="G18" s="58">
        <f t="shared" si="0"/>
        <v>4940</v>
      </c>
    </row>
    <row r="19" spans="2:7" x14ac:dyDescent="0.3">
      <c r="B19" s="47" t="s">
        <v>51</v>
      </c>
      <c r="C19" s="58"/>
      <c r="D19" s="58"/>
      <c r="E19" s="179">
        <f>'App9. Data for tables'!$H$70</f>
        <v>200</v>
      </c>
      <c r="F19" s="199">
        <f>'App9. Data for tables'!$H$78</f>
        <v>26</v>
      </c>
      <c r="G19" s="58">
        <f t="shared" si="0"/>
        <v>5200</v>
      </c>
    </row>
    <row r="20" spans="2:7" x14ac:dyDescent="0.3">
      <c r="B20" s="47" t="s">
        <v>270</v>
      </c>
      <c r="C20" s="58"/>
      <c r="D20" s="58"/>
      <c r="E20" s="179">
        <f>'App9. Data for tables'!$H$71</f>
        <v>600</v>
      </c>
      <c r="F20" s="199">
        <f>'App9. Data for tables'!$H$78</f>
        <v>26</v>
      </c>
      <c r="G20" s="58">
        <f t="shared" si="0"/>
        <v>15600</v>
      </c>
    </row>
    <row r="21" spans="2:7" ht="16.8" x14ac:dyDescent="0.3">
      <c r="B21" s="47" t="s">
        <v>297</v>
      </c>
      <c r="C21" s="58"/>
      <c r="D21" s="58"/>
      <c r="E21" s="179">
        <f>'App9. Data for tables'!$H$72</f>
        <v>750</v>
      </c>
      <c r="F21" s="199">
        <f>'App9. Data for tables'!$H$78</f>
        <v>26</v>
      </c>
      <c r="G21" s="58">
        <f t="shared" si="0"/>
        <v>19500</v>
      </c>
    </row>
    <row r="22" spans="2:7" x14ac:dyDescent="0.25">
      <c r="B22" s="15" t="s">
        <v>471</v>
      </c>
      <c r="C22" s="179">
        <f>'App9. Data for tables'!$H$59</f>
        <v>62</v>
      </c>
      <c r="D22" s="203">
        <f>'App9. Data for tables'!$H$7</f>
        <v>65</v>
      </c>
      <c r="E22" s="58">
        <f>C22*D22</f>
        <v>4030</v>
      </c>
      <c r="F22" s="199">
        <f>'App9. Data for tables'!$H$78</f>
        <v>26</v>
      </c>
      <c r="G22" s="58">
        <f t="shared" si="0"/>
        <v>104780</v>
      </c>
    </row>
    <row r="23" spans="2:7" x14ac:dyDescent="0.25">
      <c r="B23" s="15" t="s">
        <v>472</v>
      </c>
      <c r="C23" s="179">
        <f>'App9. Data for tables'!$H$60</f>
        <v>11</v>
      </c>
      <c r="D23" s="203">
        <f>'App9. Data for tables'!$H$7</f>
        <v>65</v>
      </c>
      <c r="E23" s="58">
        <f>C23*D23</f>
        <v>715</v>
      </c>
      <c r="F23" s="199">
        <f>'App9. Data for tables'!$H$78</f>
        <v>26</v>
      </c>
      <c r="G23" s="58">
        <f t="shared" si="0"/>
        <v>18590</v>
      </c>
    </row>
    <row r="24" spans="2:7" x14ac:dyDescent="0.25">
      <c r="B24" s="15" t="s">
        <v>473</v>
      </c>
      <c r="C24" s="179">
        <f>'App9. Data for tables'!$H$61</f>
        <v>11</v>
      </c>
      <c r="D24" s="203">
        <f>'App9. Data for tables'!$H$7</f>
        <v>65</v>
      </c>
      <c r="E24" s="58">
        <f>C24*D24</f>
        <v>715</v>
      </c>
      <c r="F24" s="199">
        <f>'App9. Data for tables'!$H$78</f>
        <v>26</v>
      </c>
      <c r="G24" s="58">
        <f t="shared" si="0"/>
        <v>18590</v>
      </c>
    </row>
    <row r="25" spans="2:7" x14ac:dyDescent="0.3">
      <c r="B25" s="75" t="s">
        <v>62</v>
      </c>
      <c r="C25" s="217">
        <f>'App9. Data for tables'!$H$67</f>
        <v>239</v>
      </c>
      <c r="D25" s="214">
        <f>'App9. Data for tables'!$H$7</f>
        <v>65</v>
      </c>
      <c r="E25" s="180">
        <f>C25*D25</f>
        <v>15535</v>
      </c>
      <c r="F25" s="215">
        <f>'App9. Data for tables'!$H$78</f>
        <v>26</v>
      </c>
      <c r="G25" s="180">
        <f t="shared" si="0"/>
        <v>403910</v>
      </c>
    </row>
    <row r="26" spans="2:7" x14ac:dyDescent="0.3">
      <c r="B26" s="59" t="s">
        <v>118</v>
      </c>
      <c r="C26" s="179"/>
      <c r="D26" s="203"/>
      <c r="E26" s="58"/>
      <c r="F26" s="199"/>
      <c r="G26" s="58"/>
    </row>
    <row r="27" spans="2:7" x14ac:dyDescent="0.3">
      <c r="B27" s="43" t="s">
        <v>290</v>
      </c>
    </row>
    <row r="28" spans="2:7" x14ac:dyDescent="0.3">
      <c r="B28" s="43" t="s">
        <v>257</v>
      </c>
    </row>
    <row r="29" spans="2:7" x14ac:dyDescent="0.3">
      <c r="B29" s="43" t="s">
        <v>259</v>
      </c>
    </row>
    <row r="30" spans="2:7" x14ac:dyDescent="0.3">
      <c r="B30" s="43" t="s">
        <v>210</v>
      </c>
      <c r="E30" s="218"/>
    </row>
    <row r="31" spans="2:7" ht="30" customHeight="1" x14ac:dyDescent="0.3">
      <c r="B31" s="327" t="s">
        <v>292</v>
      </c>
      <c r="C31" s="327"/>
      <c r="D31" s="327"/>
      <c r="E31" s="327"/>
      <c r="F31" s="327"/>
      <c r="G31" s="327"/>
    </row>
    <row r="32" spans="2:7" ht="16.95" customHeight="1" x14ac:dyDescent="0.3">
      <c r="B32" s="327" t="s">
        <v>291</v>
      </c>
      <c r="C32" s="327"/>
      <c r="D32" s="327"/>
      <c r="E32" s="327"/>
      <c r="F32" s="327"/>
      <c r="G32" s="327"/>
    </row>
    <row r="33" spans="2:2" x14ac:dyDescent="0.3">
      <c r="B33" s="43" t="s">
        <v>293</v>
      </c>
    </row>
    <row r="34" spans="2:2" x14ac:dyDescent="0.3">
      <c r="B34" s="43" t="s">
        <v>294</v>
      </c>
    </row>
    <row r="35" spans="2:2" x14ac:dyDescent="0.3">
      <c r="B35" s="43" t="s">
        <v>295</v>
      </c>
    </row>
    <row r="36" spans="2:2" x14ac:dyDescent="0.3">
      <c r="B36" s="43" t="s">
        <v>296</v>
      </c>
    </row>
  </sheetData>
  <protectedRanges>
    <protectedRange sqref="C13:D13 C14:E17 C19:E26 C5:E12" name="Range2"/>
    <protectedRange sqref="C18:E18" name="Range2_1"/>
    <protectedRange sqref="C4:E4" name="Range2_3"/>
    <protectedRange sqref="E13" name="Range2_5"/>
  </protectedRanges>
  <mergeCells count="3">
    <mergeCell ref="B2:G2"/>
    <mergeCell ref="B31:G31"/>
    <mergeCell ref="B32:G32"/>
  </mergeCells>
  <phoneticPr fontId="18" type="noConversion"/>
  <pageMargins left="0.7" right="0.7" top="0.75" bottom="0.75" header="0.3" footer="0.3"/>
  <pageSetup orientation="portrait"/>
  <ignoredErrors>
    <ignoredError sqref="C8:D9 C22:C25 E22:E25 C14:D16 C21:E21 C19:D20 E17:E20 E5:F5 E10:E16 E4 E6:E7 E8:E9" unlockedFormula="1"/>
    <ignoredError sqref="F22:F25" formula="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Intro</vt:lpstr>
      <vt:lpstr>Honeycrisp-Spindle Budget</vt:lpstr>
      <vt:lpstr>Price &amp; Yield Analysis</vt:lpstr>
      <vt:lpstr>Breakeven Return</vt:lpstr>
      <vt:lpstr>App1. Capital Req</vt:lpstr>
      <vt:lpstr>App2. Mach Etc Req</vt:lpstr>
      <vt:lpstr>App3&amp;4. Int&amp;Dep</vt:lpstr>
      <vt:lpstr>App5. Estab Costs</vt:lpstr>
      <vt:lpstr>App6. Full Prod Costs</vt:lpstr>
      <vt:lpstr>App7. Salv Value &amp; Dep Calc</vt:lpstr>
      <vt:lpstr>App8. Amort Calc</vt:lpstr>
      <vt:lpstr>App9. Data for tables</vt:lpstr>
      <vt:lpstr>'App2. Mach Etc Req'!Print_Area</vt:lpstr>
      <vt:lpstr>'App9. Data for tables'!Print_Area</vt:lpstr>
      <vt:lpstr>'Honeycrisp-Spindle Budget'!Print_Area</vt:lpstr>
      <vt:lpstr>Intro!Print_Area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m_taylor</dc:creator>
  <cp:lastModifiedBy>Suzette P Galinato</cp:lastModifiedBy>
  <cp:lastPrinted>2012-05-18T18:40:53Z</cp:lastPrinted>
  <dcterms:created xsi:type="dcterms:W3CDTF">2009-07-08T23:24:01Z</dcterms:created>
  <dcterms:modified xsi:type="dcterms:W3CDTF">2025-08-11T20:34:56Z</dcterms:modified>
</cp:coreProperties>
</file>