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autoCompressPictures="0" defaultThemeVersion="124226"/>
  <mc:AlternateContent xmlns:mc="http://schemas.openxmlformats.org/markup-compatibility/2006">
    <mc:Choice Requires="x15">
      <x15ac:absPath xmlns:x15ac="http://schemas.microsoft.com/office/spreadsheetml/2010/11/ac" url="C:\Users\sgalinato\OneDrive - Washington State University (email.wsu.edu)\Projects-Ongoing\Enterprise Budgets\2024 Apple Update\2024 Apples Ent Budget Extension Publication\2024 Apple Spindle\"/>
    </mc:Choice>
  </mc:AlternateContent>
  <xr:revisionPtr revIDLastSave="0" documentId="13_ncr:1_{578287C7-AE0E-4FF0-9DD9-0735E566422A}" xr6:coauthVersionLast="47" xr6:coauthVersionMax="47" xr10:uidLastSave="{00000000-0000-0000-0000-000000000000}"/>
  <bookViews>
    <workbookView xWindow="-108" yWindow="-108" windowWidth="23256" windowHeight="12456" tabRatio="806" xr2:uid="{A858824C-59C9-4B5B-AC5C-7CBEED608276}"/>
  </bookViews>
  <sheets>
    <sheet name="Intro" sheetId="10" r:id="rId1"/>
    <sheet name="Cosmic Crisp-Spindle Budget" sheetId="1" r:id="rId2"/>
    <sheet name="Price &amp; Yield Analysis" sheetId="9" r:id="rId3"/>
    <sheet name="Breakeven Return" sheetId="16" r:id="rId4"/>
    <sheet name="App1. Capital Req" sheetId="2" r:id="rId5"/>
    <sheet name="App2. Mach Etc Req" sheetId="11" r:id="rId6"/>
    <sheet name="App3&amp;4. Int&amp;Dep" sheetId="7" r:id="rId7"/>
    <sheet name="App5. Estab Costs" sheetId="3" r:id="rId8"/>
    <sheet name="App6. Full Prod Costs" sheetId="6" r:id="rId9"/>
    <sheet name="App7. Salv Value &amp; Dep Calc" sheetId="14" r:id="rId10"/>
    <sheet name="App8. Amort Calc" sheetId="8" r:id="rId11"/>
    <sheet name="App9. Data for tables" sheetId="13" r:id="rId12"/>
  </sheets>
  <definedNames>
    <definedName name="_xlnm.Print_Area" localSheetId="5">'App2. Mach Etc Req'!$B$2:$H$28</definedName>
    <definedName name="_xlnm.Print_Area" localSheetId="11">'App9. Data for tables'!$A$1:$J$79</definedName>
    <definedName name="_xlnm.Print_Area" localSheetId="1">'Cosmic Crisp-Spindle Budget'!$C$2:$J$62</definedName>
    <definedName name="_xlnm.Print_Area" localSheetId="0">Intro!$B$2:$L$10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2" i="1" l="1"/>
  <c r="I31" i="1"/>
  <c r="I32" i="1"/>
  <c r="I30" i="1"/>
  <c r="I25" i="1"/>
  <c r="I24" i="1"/>
  <c r="I21" i="1"/>
  <c r="I22" i="1"/>
  <c r="I23" i="1"/>
  <c r="I20" i="1"/>
  <c r="I19" i="1"/>
  <c r="I18" i="1"/>
  <c r="I17" i="1"/>
  <c r="I15" i="1"/>
  <c r="I14" i="1"/>
  <c r="I13" i="1"/>
  <c r="I12" i="1"/>
  <c r="I11" i="1"/>
  <c r="I10" i="1"/>
  <c r="I16" i="1"/>
  <c r="H52" i="1"/>
  <c r="H31" i="1"/>
  <c r="H32" i="1"/>
  <c r="H30" i="1"/>
  <c r="H25" i="1"/>
  <c r="H24" i="1"/>
  <c r="H21" i="1"/>
  <c r="H22" i="1"/>
  <c r="H23" i="1"/>
  <c r="H20" i="1"/>
  <c r="H19" i="1"/>
  <c r="H18" i="1"/>
  <c r="H17" i="1"/>
  <c r="H16" i="1"/>
  <c r="H15" i="1"/>
  <c r="H14" i="1"/>
  <c r="H13" i="1"/>
  <c r="H12" i="1"/>
  <c r="H11" i="1"/>
  <c r="H10" i="1"/>
  <c r="G52" i="1"/>
  <c r="G31" i="1"/>
  <c r="G32" i="1"/>
  <c r="G30" i="1"/>
  <c r="G21" i="1"/>
  <c r="G22" i="1"/>
  <c r="G23" i="1"/>
  <c r="G20" i="1"/>
  <c r="G25" i="1"/>
  <c r="G24" i="1"/>
  <c r="G19" i="1"/>
  <c r="G18" i="1"/>
  <c r="G17" i="1"/>
  <c r="G15" i="1"/>
  <c r="G14" i="1"/>
  <c r="G13" i="1"/>
  <c r="G12" i="1"/>
  <c r="G11" i="1"/>
  <c r="G10" i="1"/>
  <c r="F52" i="1"/>
  <c r="F31" i="1"/>
  <c r="F32" i="1"/>
  <c r="F30" i="1"/>
  <c r="F25" i="1"/>
  <c r="F24" i="1"/>
  <c r="F21" i="1"/>
  <c r="F22" i="1"/>
  <c r="F23" i="1"/>
  <c r="F20" i="1"/>
  <c r="F19" i="1"/>
  <c r="F18" i="1"/>
  <c r="F17" i="1"/>
  <c r="F15" i="1"/>
  <c r="F14" i="1"/>
  <c r="F13" i="1"/>
  <c r="F12" i="1"/>
  <c r="F11" i="1"/>
  <c r="F10" i="1"/>
  <c r="E52" i="1"/>
  <c r="E31" i="1"/>
  <c r="E32" i="1"/>
  <c r="E30" i="1"/>
  <c r="E25" i="1"/>
  <c r="E24" i="1"/>
  <c r="E19" i="1"/>
  <c r="E17" i="1"/>
  <c r="E15" i="1"/>
  <c r="E14" i="1"/>
  <c r="E13" i="1"/>
  <c r="E12" i="1"/>
  <c r="E11" i="1"/>
  <c r="E10" i="1"/>
  <c r="C4" i="7"/>
  <c r="C7" i="2"/>
  <c r="D52" i="1"/>
  <c r="D31" i="1"/>
  <c r="D32" i="1"/>
  <c r="D30" i="1"/>
  <c r="D25" i="1"/>
  <c r="D24" i="1"/>
  <c r="D19" i="1"/>
  <c r="D17" i="1"/>
  <c r="D15" i="1"/>
  <c r="D14" i="1"/>
  <c r="D13" i="1"/>
  <c r="D12" i="1"/>
  <c r="D11" i="1"/>
  <c r="D10" i="1"/>
  <c r="D9" i="1"/>
  <c r="D8" i="1"/>
  <c r="H19" i="14"/>
  <c r="H18" i="14"/>
  <c r="H17" i="14"/>
  <c r="H16" i="14"/>
  <c r="H15" i="14"/>
  <c r="H14" i="14"/>
  <c r="H13" i="14"/>
  <c r="H12" i="14"/>
  <c r="H11" i="14"/>
  <c r="H10" i="14"/>
  <c r="H9" i="14"/>
  <c r="H8" i="14"/>
  <c r="H7" i="14"/>
  <c r="H6" i="14"/>
  <c r="H5" i="14"/>
  <c r="H4" i="14"/>
  <c r="F8" i="6"/>
  <c r="F9" i="6"/>
  <c r="F4" i="6"/>
  <c r="G95" i="3"/>
  <c r="G96" i="3"/>
  <c r="G97" i="3"/>
  <c r="G98" i="3"/>
  <c r="G99" i="3"/>
  <c r="G100" i="3"/>
  <c r="G101" i="3"/>
  <c r="G102" i="3"/>
  <c r="G103" i="3"/>
  <c r="G104" i="3"/>
  <c r="G105" i="3"/>
  <c r="G106" i="3"/>
  <c r="G107" i="3"/>
  <c r="G108" i="3"/>
  <c r="G109" i="3"/>
  <c r="G110" i="3"/>
  <c r="G111" i="3"/>
  <c r="G112" i="3"/>
  <c r="G113" i="3"/>
  <c r="G114" i="3"/>
  <c r="G93" i="3"/>
  <c r="G73" i="3"/>
  <c r="G74" i="3"/>
  <c r="G75" i="3"/>
  <c r="G76" i="3"/>
  <c r="G77" i="3"/>
  <c r="G78" i="3"/>
  <c r="G79" i="3"/>
  <c r="G80" i="3"/>
  <c r="G81" i="3"/>
  <c r="G82" i="3"/>
  <c r="G83" i="3"/>
  <c r="G84" i="3"/>
  <c r="G85" i="3"/>
  <c r="G86" i="3"/>
  <c r="G87" i="3"/>
  <c r="G88" i="3"/>
  <c r="G89" i="3"/>
  <c r="G90" i="3"/>
  <c r="G91" i="3"/>
  <c r="G92" i="3"/>
  <c r="G70" i="3"/>
  <c r="G71" i="3"/>
  <c r="G50" i="3"/>
  <c r="G51" i="3"/>
  <c r="G52" i="3"/>
  <c r="G53" i="3"/>
  <c r="G54" i="3"/>
  <c r="G55" i="3"/>
  <c r="G56" i="3"/>
  <c r="G57" i="3"/>
  <c r="G58" i="3"/>
  <c r="G59" i="3"/>
  <c r="G60" i="3"/>
  <c r="G61" i="3"/>
  <c r="G62" i="3"/>
  <c r="G63" i="3"/>
  <c r="G64" i="3"/>
  <c r="G65" i="3"/>
  <c r="G66" i="3"/>
  <c r="G67" i="3"/>
  <c r="G68" i="3"/>
  <c r="G69" i="3"/>
  <c r="G34" i="3"/>
  <c r="G35" i="3"/>
  <c r="G36" i="3"/>
  <c r="G37" i="3"/>
  <c r="G38" i="3"/>
  <c r="G39" i="3"/>
  <c r="G40" i="3"/>
  <c r="G41" i="3"/>
  <c r="G42" i="3"/>
  <c r="G43" i="3"/>
  <c r="G44" i="3"/>
  <c r="G45" i="3"/>
  <c r="G46" i="3"/>
  <c r="G47" i="3"/>
  <c r="G48"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C7" i="9" l="1"/>
  <c r="C8" i="9"/>
  <c r="C17" i="13"/>
  <c r="C9" i="16" l="1"/>
  <c r="H6" i="1"/>
  <c r="I6" i="1"/>
  <c r="G6" i="1"/>
  <c r="H64" i="13"/>
  <c r="G64" i="13"/>
  <c r="F64" i="13"/>
  <c r="D6" i="1" l="1"/>
  <c r="E6" i="1"/>
  <c r="F6" i="1"/>
  <c r="H66" i="13"/>
  <c r="G66" i="13"/>
  <c r="H65" i="13"/>
  <c r="G65" i="13"/>
  <c r="H59" i="13"/>
  <c r="G59" i="13"/>
  <c r="F59" i="13"/>
  <c r="H63" i="13"/>
  <c r="H7" i="13" s="1"/>
  <c r="G63" i="13"/>
  <c r="H61" i="13"/>
  <c r="G61" i="13"/>
  <c r="F61" i="13"/>
  <c r="C16" i="13"/>
  <c r="F25" i="3"/>
  <c r="F41" i="3"/>
  <c r="F24" i="3"/>
  <c r="D52" i="13"/>
  <c r="C52" i="13"/>
  <c r="C50" i="13"/>
  <c r="H41" i="3" l="1"/>
  <c r="H25" i="3"/>
  <c r="H24" i="3"/>
  <c r="G62" i="13"/>
  <c r="H62" i="13" s="1"/>
  <c r="H3" i="13"/>
  <c r="G3" i="13"/>
  <c r="H6" i="13"/>
  <c r="G6" i="13"/>
  <c r="F6" i="13"/>
  <c r="G7" i="13" l="1"/>
  <c r="F7" i="13"/>
  <c r="C82" i="13"/>
  <c r="C41" i="13" s="1"/>
  <c r="C83" i="13"/>
  <c r="C81" i="13"/>
  <c r="D82" i="13" l="1"/>
  <c r="E82" i="13" s="1"/>
  <c r="F82" i="13" s="1"/>
  <c r="G82" i="13" s="1"/>
  <c r="H82" i="13" s="1"/>
  <c r="H52" i="13" s="1"/>
  <c r="E41" i="13"/>
  <c r="H41" i="13"/>
  <c r="E52" i="13"/>
  <c r="F41" i="13"/>
  <c r="D41" i="13"/>
  <c r="G41" i="13"/>
  <c r="G52" i="13"/>
  <c r="F52" i="13"/>
  <c r="C5" i="8" l="1"/>
  <c r="F51" i="13"/>
  <c r="G51" i="13" s="1"/>
  <c r="H51" i="13" s="1"/>
  <c r="D58" i="13"/>
  <c r="E58" i="13" s="1"/>
  <c r="F58" i="13" s="1"/>
  <c r="G58" i="13" s="1"/>
  <c r="H58" i="13" s="1"/>
  <c r="D57" i="13"/>
  <c r="E57" i="13" s="1"/>
  <c r="F57" i="13" s="1"/>
  <c r="G57" i="13" s="1"/>
  <c r="H57" i="13" s="1"/>
  <c r="G56" i="13"/>
  <c r="H56" i="13" s="1"/>
  <c r="D55" i="13"/>
  <c r="E55" i="13" s="1"/>
  <c r="F55" i="13" s="1"/>
  <c r="G55" i="13" s="1"/>
  <c r="H55" i="13" s="1"/>
  <c r="D54" i="13"/>
  <c r="E54" i="13" s="1"/>
  <c r="F54" i="13" s="1"/>
  <c r="G54" i="13" s="1"/>
  <c r="H54" i="13" s="1"/>
  <c r="G53" i="13"/>
  <c r="H53" i="13" s="1"/>
  <c r="D69" i="13"/>
  <c r="E69" i="13" s="1"/>
  <c r="F69" i="13" s="1"/>
  <c r="G69" i="13" s="1"/>
  <c r="H69" i="13" s="1"/>
  <c r="D70" i="13"/>
  <c r="E70" i="13" s="1"/>
  <c r="F70" i="13" s="1"/>
  <c r="G70" i="13" s="1"/>
  <c r="H70" i="13" s="1"/>
  <c r="D71" i="13"/>
  <c r="E71" i="13" s="1"/>
  <c r="F71" i="13" s="1"/>
  <c r="G71" i="13" s="1"/>
  <c r="H71" i="13" s="1"/>
  <c r="D72" i="13"/>
  <c r="E72" i="13" s="1"/>
  <c r="F72" i="13" s="1"/>
  <c r="G72" i="13" s="1"/>
  <c r="H72" i="13" s="1"/>
  <c r="D68" i="13"/>
  <c r="E68" i="13" s="1"/>
  <c r="F68" i="13" s="1"/>
  <c r="G68" i="13" s="1"/>
  <c r="H68" i="13" s="1"/>
  <c r="D79" i="13" l="1"/>
  <c r="E79" i="13" s="1"/>
  <c r="F79" i="13" s="1"/>
  <c r="G79" i="13" s="1"/>
  <c r="H79" i="13" s="1"/>
  <c r="D78" i="13"/>
  <c r="E78" i="13" s="1"/>
  <c r="D77" i="13"/>
  <c r="E77" i="13" s="1"/>
  <c r="F77" i="13" s="1"/>
  <c r="G77" i="13" s="1"/>
  <c r="H77" i="13" s="1"/>
  <c r="F78" i="13" l="1"/>
  <c r="G78" i="13" s="1"/>
  <c r="H78" i="13" s="1"/>
  <c r="C9" i="9"/>
  <c r="C6" i="9"/>
  <c r="C5" i="9"/>
  <c r="C4" i="9"/>
  <c r="C11" i="7" l="1"/>
  <c r="C10" i="2"/>
  <c r="C5" i="7"/>
  <c r="F6" i="2" s="1"/>
  <c r="F71" i="3"/>
  <c r="F70" i="3"/>
  <c r="H70" i="3" s="1"/>
  <c r="E13" i="6"/>
  <c r="F7" i="6"/>
  <c r="E4" i="6"/>
  <c r="F102" i="3"/>
  <c r="H102" i="3" s="1"/>
  <c r="F93" i="3"/>
  <c r="F80" i="3"/>
  <c r="H80" i="3" s="1"/>
  <c r="G4" i="6" l="1"/>
  <c r="H93" i="3"/>
  <c r="G16" i="1"/>
  <c r="H71" i="3"/>
  <c r="F57" i="3"/>
  <c r="H57" i="3" s="1"/>
  <c r="H4" i="13" l="1"/>
  <c r="G4" i="13"/>
  <c r="F4" i="13"/>
  <c r="C38" i="13" l="1"/>
  <c r="F18" i="3" s="1"/>
  <c r="H18" i="3" s="1"/>
  <c r="C35" i="13" l="1"/>
  <c r="D83" i="13"/>
  <c r="D81" i="13"/>
  <c r="E81" i="13" s="1"/>
  <c r="F81" i="13" s="1"/>
  <c r="G81" i="13" s="1"/>
  <c r="H81" i="13" s="1"/>
  <c r="E83" i="13" l="1"/>
  <c r="E35" i="13" s="1"/>
  <c r="D38" i="13"/>
  <c r="F35" i="3" s="1"/>
  <c r="D35" i="13"/>
  <c r="H35" i="3" l="1"/>
  <c r="F83" i="13"/>
  <c r="E38" i="13"/>
  <c r="F51" i="3" s="1"/>
  <c r="H51" i="3" l="1"/>
  <c r="G83" i="13"/>
  <c r="F38" i="13"/>
  <c r="F74" i="3" s="1"/>
  <c r="F35" i="13"/>
  <c r="H74" i="3" l="1"/>
  <c r="H83" i="13"/>
  <c r="H35" i="13" s="1"/>
  <c r="G38" i="13"/>
  <c r="F96" i="3" s="1"/>
  <c r="G35" i="13"/>
  <c r="H96" i="3" l="1"/>
  <c r="C23" i="7"/>
  <c r="D23" i="7"/>
  <c r="E5" i="7"/>
  <c r="E23" i="7" l="1"/>
  <c r="G23" i="7" s="1"/>
  <c r="F37" i="1" s="1"/>
  <c r="H37" i="1" l="1"/>
  <c r="E37" i="1"/>
  <c r="G37" i="1"/>
  <c r="I37" i="1"/>
  <c r="D37" i="1"/>
  <c r="H67" i="13" l="1"/>
  <c r="G67" i="13"/>
  <c r="F67" i="13"/>
  <c r="H45" i="13"/>
  <c r="G45" i="13"/>
  <c r="F45" i="13"/>
  <c r="E45" i="13"/>
  <c r="D45" i="13"/>
  <c r="C45" i="13"/>
  <c r="H38" i="13"/>
  <c r="E7" i="6" s="1"/>
  <c r="G7" i="6" s="1"/>
  <c r="H33" i="13"/>
  <c r="G33" i="13"/>
  <c r="F95" i="3" s="1"/>
  <c r="H95" i="3" s="1"/>
  <c r="F33" i="13"/>
  <c r="F73" i="3" s="1"/>
  <c r="H73" i="3" s="1"/>
  <c r="E33" i="13"/>
  <c r="F50" i="3" s="1"/>
  <c r="H50" i="3" s="1"/>
  <c r="D33" i="13"/>
  <c r="F34" i="3" s="1"/>
  <c r="H34" i="3" s="1"/>
  <c r="C33" i="13"/>
  <c r="F17" i="3" s="1"/>
  <c r="H17" i="3" s="1"/>
  <c r="H31" i="13"/>
  <c r="G31" i="13"/>
  <c r="F31" i="13"/>
  <c r="E31" i="13"/>
  <c r="D31" i="13"/>
  <c r="C31" i="13"/>
  <c r="D29" i="13"/>
  <c r="E29" i="13"/>
  <c r="F29" i="13"/>
  <c r="G29" i="13"/>
  <c r="H29" i="13"/>
  <c r="C29" i="13"/>
  <c r="C19" i="13"/>
  <c r="C14" i="13"/>
  <c r="E10" i="3" l="1"/>
  <c r="E9" i="3"/>
  <c r="G94" i="3"/>
  <c r="G72" i="3"/>
  <c r="G49" i="3"/>
  <c r="G33" i="3"/>
  <c r="G4" i="3"/>
  <c r="F25" i="6"/>
  <c r="F24" i="6"/>
  <c r="F23" i="6"/>
  <c r="F22" i="6"/>
  <c r="F21" i="6"/>
  <c r="F20" i="6"/>
  <c r="F19" i="6"/>
  <c r="F18" i="6"/>
  <c r="F16" i="6"/>
  <c r="F15" i="6"/>
  <c r="F14" i="6"/>
  <c r="F12" i="6"/>
  <c r="F11" i="6"/>
  <c r="F10" i="6"/>
  <c r="F17" i="6"/>
  <c r="F13" i="6"/>
  <c r="G13" i="6" s="1"/>
  <c r="F6" i="6"/>
  <c r="F5" i="6"/>
  <c r="D27" i="7"/>
  <c r="D26" i="7"/>
  <c r="D25" i="7"/>
  <c r="D24" i="7"/>
  <c r="D22" i="7"/>
  <c r="E11" i="7"/>
  <c r="E10" i="7"/>
  <c r="E9" i="7"/>
  <c r="E8" i="7"/>
  <c r="E7" i="7"/>
  <c r="E6" i="7"/>
  <c r="E4" i="7"/>
  <c r="F11" i="3" l="1"/>
  <c r="H11" i="3" l="1"/>
  <c r="F8" i="3"/>
  <c r="H8" i="3" s="1"/>
  <c r="F7" i="3"/>
  <c r="H7" i="3" s="1"/>
  <c r="F17" i="11" l="1"/>
  <c r="C17" i="14" s="1"/>
  <c r="F17" i="14" l="1"/>
  <c r="G17" i="14" s="1"/>
  <c r="F58" i="3" l="1"/>
  <c r="D92" i="3"/>
  <c r="D114" i="3"/>
  <c r="C25" i="6"/>
  <c r="D69" i="3"/>
  <c r="H58" i="3" l="1"/>
  <c r="D68" i="3"/>
  <c r="D91" i="3"/>
  <c r="D113" i="3"/>
  <c r="C24" i="6"/>
  <c r="D24" i="6"/>
  <c r="D25" i="6"/>
  <c r="D22" i="6"/>
  <c r="D23" i="6"/>
  <c r="E10" i="6"/>
  <c r="G10" i="6" s="1"/>
  <c r="F99" i="3"/>
  <c r="F77" i="3"/>
  <c r="F54" i="3"/>
  <c r="F38" i="3"/>
  <c r="F21" i="3"/>
  <c r="F4" i="11"/>
  <c r="F5" i="11"/>
  <c r="C5" i="14" s="1"/>
  <c r="F6" i="11"/>
  <c r="C6" i="14" s="1"/>
  <c r="F6" i="14" s="1"/>
  <c r="G6" i="14" s="1"/>
  <c r="F7" i="11"/>
  <c r="C7" i="14" s="1"/>
  <c r="F7" i="14" s="1"/>
  <c r="G7" i="14" s="1"/>
  <c r="F8" i="11"/>
  <c r="C8" i="14" s="1"/>
  <c r="F8" i="14" s="1"/>
  <c r="G8" i="14" s="1"/>
  <c r="F9" i="11"/>
  <c r="C9" i="14" s="1"/>
  <c r="F9" i="14" s="1"/>
  <c r="G9" i="14" s="1"/>
  <c r="F10" i="11"/>
  <c r="C10" i="14" s="1"/>
  <c r="F10" i="14" s="1"/>
  <c r="G10" i="14" s="1"/>
  <c r="F11" i="11"/>
  <c r="C11" i="14" s="1"/>
  <c r="F11" i="14" s="1"/>
  <c r="G11" i="14" s="1"/>
  <c r="F12" i="11"/>
  <c r="C12" i="14" s="1"/>
  <c r="F12" i="14" s="1"/>
  <c r="G12" i="14" s="1"/>
  <c r="F13" i="11"/>
  <c r="C13" i="14" s="1"/>
  <c r="F13" i="14" s="1"/>
  <c r="G13" i="14" s="1"/>
  <c r="F14" i="11"/>
  <c r="C14" i="14" s="1"/>
  <c r="F14" i="14" s="1"/>
  <c r="G14" i="14" s="1"/>
  <c r="F15" i="11"/>
  <c r="C15" i="14" s="1"/>
  <c r="F15" i="14" s="1"/>
  <c r="G15" i="14" s="1"/>
  <c r="F16" i="11"/>
  <c r="C16" i="14" s="1"/>
  <c r="F16" i="14" s="1"/>
  <c r="G16" i="14" s="1"/>
  <c r="F18" i="11"/>
  <c r="C18" i="14" s="1"/>
  <c r="F19" i="11"/>
  <c r="C19" i="14" s="1"/>
  <c r="F19" i="14" s="1"/>
  <c r="G19" i="14" s="1"/>
  <c r="E12" i="6"/>
  <c r="F75" i="3"/>
  <c r="H75" i="3" s="1"/>
  <c r="F72" i="3"/>
  <c r="F61" i="3"/>
  <c r="F40" i="3"/>
  <c r="F16" i="3"/>
  <c r="F14" i="3"/>
  <c r="F5" i="3"/>
  <c r="H5" i="3" s="1"/>
  <c r="F6" i="3"/>
  <c r="H6" i="3" s="1"/>
  <c r="D9" i="3"/>
  <c r="D10" i="3"/>
  <c r="F23" i="3"/>
  <c r="F19" i="3"/>
  <c r="H19" i="3" s="1"/>
  <c r="F20" i="3"/>
  <c r="H20" i="3" s="1"/>
  <c r="F28" i="3"/>
  <c r="F22" i="3"/>
  <c r="F27" i="3"/>
  <c r="C13" i="7"/>
  <c r="F5" i="7" s="1"/>
  <c r="G5" i="7" s="1"/>
  <c r="F12" i="3"/>
  <c r="H12" i="3" s="1"/>
  <c r="F13" i="3"/>
  <c r="H13" i="3" s="1"/>
  <c r="F15" i="3"/>
  <c r="F4" i="3"/>
  <c r="F29" i="3"/>
  <c r="F30" i="3"/>
  <c r="F31" i="3"/>
  <c r="F32" i="3"/>
  <c r="F45" i="3"/>
  <c r="F46" i="3"/>
  <c r="F47" i="3"/>
  <c r="F48" i="3"/>
  <c r="F33" i="3"/>
  <c r="F36" i="3"/>
  <c r="H36" i="3" s="1"/>
  <c r="F37" i="3"/>
  <c r="H37" i="3" s="1"/>
  <c r="F44" i="3"/>
  <c r="F39" i="3"/>
  <c r="F43" i="3"/>
  <c r="F62" i="3"/>
  <c r="F63" i="3"/>
  <c r="F64" i="3"/>
  <c r="F65" i="3"/>
  <c r="F49" i="3"/>
  <c r="F56" i="3"/>
  <c r="F52" i="3"/>
  <c r="H52" i="3" s="1"/>
  <c r="F53" i="3"/>
  <c r="H53" i="3" s="1"/>
  <c r="F55" i="3"/>
  <c r="D66" i="3"/>
  <c r="E66" i="3"/>
  <c r="D67" i="3"/>
  <c r="E67" i="3"/>
  <c r="E68" i="3"/>
  <c r="E114" i="3"/>
  <c r="E69" i="3"/>
  <c r="F60" i="3"/>
  <c r="F85" i="3"/>
  <c r="F86" i="3"/>
  <c r="F87" i="3"/>
  <c r="F88" i="3"/>
  <c r="F76" i="3"/>
  <c r="H76" i="3" s="1"/>
  <c r="F79" i="3"/>
  <c r="F81" i="3"/>
  <c r="F84" i="3"/>
  <c r="F78" i="3"/>
  <c r="D89" i="3"/>
  <c r="E89" i="3"/>
  <c r="D90" i="3"/>
  <c r="E90" i="3"/>
  <c r="E91" i="3"/>
  <c r="E92" i="3"/>
  <c r="F83" i="3"/>
  <c r="G4" i="1"/>
  <c r="G5" i="1"/>
  <c r="F107" i="3"/>
  <c r="F108" i="3"/>
  <c r="F109" i="3"/>
  <c r="F110" i="3"/>
  <c r="F94" i="3"/>
  <c r="F101" i="3"/>
  <c r="F97" i="3"/>
  <c r="H97" i="3" s="1"/>
  <c r="F98" i="3"/>
  <c r="H98" i="3" s="1"/>
  <c r="F103" i="3"/>
  <c r="F106" i="3"/>
  <c r="F100" i="3"/>
  <c r="D111" i="3"/>
  <c r="E111" i="3"/>
  <c r="D112" i="3"/>
  <c r="E112" i="3"/>
  <c r="E113" i="3"/>
  <c r="F105" i="3"/>
  <c r="H4" i="1"/>
  <c r="H5" i="1"/>
  <c r="C6" i="8"/>
  <c r="E18" i="6"/>
  <c r="G18" i="6" s="1"/>
  <c r="E19" i="6"/>
  <c r="G19" i="6" s="1"/>
  <c r="E20" i="6"/>
  <c r="E21" i="6"/>
  <c r="C22" i="6"/>
  <c r="C23" i="6"/>
  <c r="E5" i="6"/>
  <c r="G5" i="6" s="1"/>
  <c r="E6" i="6"/>
  <c r="G6" i="6" s="1"/>
  <c r="E8" i="6"/>
  <c r="G8" i="6" s="1"/>
  <c r="E9" i="6"/>
  <c r="G9" i="6" s="1"/>
  <c r="E14" i="6"/>
  <c r="E17" i="6"/>
  <c r="G17" i="6" s="1"/>
  <c r="E11" i="6"/>
  <c r="G11" i="6" s="1"/>
  <c r="E16" i="6"/>
  <c r="G16" i="6" s="1"/>
  <c r="C17" i="9"/>
  <c r="C18" i="9"/>
  <c r="I4" i="1"/>
  <c r="I5" i="1"/>
  <c r="G12" i="6" l="1"/>
  <c r="G20" i="6"/>
  <c r="G14" i="6"/>
  <c r="G21" i="6"/>
  <c r="H99" i="3"/>
  <c r="H107" i="3"/>
  <c r="H108" i="3"/>
  <c r="H101" i="3"/>
  <c r="H106" i="3"/>
  <c r="H103" i="3"/>
  <c r="H94" i="3"/>
  <c r="H100" i="3"/>
  <c r="H105" i="3"/>
  <c r="H110" i="3"/>
  <c r="H109" i="3"/>
  <c r="H81" i="3"/>
  <c r="H87" i="3"/>
  <c r="H86" i="3"/>
  <c r="H72" i="3"/>
  <c r="H88" i="3"/>
  <c r="H83" i="3"/>
  <c r="H85" i="3"/>
  <c r="H84" i="3"/>
  <c r="H79" i="3"/>
  <c r="H78" i="3"/>
  <c r="H77" i="3"/>
  <c r="H63" i="3"/>
  <c r="H62" i="3"/>
  <c r="H55" i="3"/>
  <c r="H61" i="3"/>
  <c r="H56" i="3"/>
  <c r="H60" i="3"/>
  <c r="H49" i="3"/>
  <c r="H65" i="3"/>
  <c r="H54" i="3"/>
  <c r="H64" i="3"/>
  <c r="H40" i="3"/>
  <c r="H43" i="3"/>
  <c r="H39" i="3"/>
  <c r="H46" i="3"/>
  <c r="H44" i="3"/>
  <c r="H45" i="3"/>
  <c r="H33" i="3"/>
  <c r="H48" i="3"/>
  <c r="H47" i="3"/>
  <c r="H38" i="3"/>
  <c r="H28" i="3"/>
  <c r="H30" i="3"/>
  <c r="H23" i="3"/>
  <c r="H15" i="3"/>
  <c r="C9" i="2" s="1"/>
  <c r="H32" i="3"/>
  <c r="H4" i="3"/>
  <c r="H31" i="3"/>
  <c r="H29" i="3"/>
  <c r="H14" i="3"/>
  <c r="C8" i="2" s="1"/>
  <c r="H16" i="3"/>
  <c r="H21" i="3"/>
  <c r="H22" i="3"/>
  <c r="H27" i="3"/>
  <c r="E5" i="1"/>
  <c r="E7" i="1" s="1"/>
  <c r="F5" i="1"/>
  <c r="F7" i="1" s="1"/>
  <c r="E14" i="2" s="1"/>
  <c r="D5" i="1"/>
  <c r="D7" i="1" s="1"/>
  <c r="H7" i="1"/>
  <c r="G7" i="1"/>
  <c r="I7" i="1"/>
  <c r="I44" i="1"/>
  <c r="E44" i="1"/>
  <c r="H44" i="1"/>
  <c r="D44" i="1"/>
  <c r="G44" i="1"/>
  <c r="F44" i="1"/>
  <c r="C8" i="16"/>
  <c r="E15" i="6"/>
  <c r="F89" i="3"/>
  <c r="C4" i="14"/>
  <c r="F4" i="14" s="1"/>
  <c r="F20" i="11"/>
  <c r="C7" i="7" s="1"/>
  <c r="E23" i="6"/>
  <c r="E24" i="6"/>
  <c r="F92" i="3"/>
  <c r="H92" i="3" s="1"/>
  <c r="E22" i="6"/>
  <c r="G22" i="6" s="1"/>
  <c r="C5" i="2"/>
  <c r="F18" i="14"/>
  <c r="G18" i="14" s="1"/>
  <c r="F5" i="14"/>
  <c r="G5" i="14" s="1"/>
  <c r="F111" i="3"/>
  <c r="F113" i="3"/>
  <c r="F67" i="3"/>
  <c r="F66" i="3"/>
  <c r="F9" i="3"/>
  <c r="H9" i="3" s="1"/>
  <c r="F112" i="3"/>
  <c r="F69" i="3"/>
  <c r="H69" i="3" s="1"/>
  <c r="F114" i="3"/>
  <c r="H114" i="3" s="1"/>
  <c r="F91" i="3"/>
  <c r="F68" i="3"/>
  <c r="F90" i="3"/>
  <c r="F10" i="3"/>
  <c r="H10" i="3" s="1"/>
  <c r="G23" i="6" l="1"/>
  <c r="G15" i="6"/>
  <c r="G24" i="6"/>
  <c r="H113" i="3"/>
  <c r="H111" i="3"/>
  <c r="H112" i="3"/>
  <c r="H90" i="3"/>
  <c r="H89" i="3"/>
  <c r="H91" i="3"/>
  <c r="H67" i="3"/>
  <c r="H68" i="3"/>
  <c r="H66" i="3"/>
  <c r="D33" i="1"/>
  <c r="C4" i="2"/>
  <c r="C14" i="2"/>
  <c r="D14" i="2"/>
  <c r="I33" i="1"/>
  <c r="F33" i="1"/>
  <c r="H33" i="1"/>
  <c r="G33" i="1"/>
  <c r="E33" i="1"/>
  <c r="H14" i="2"/>
  <c r="F14" i="2"/>
  <c r="G14" i="2"/>
  <c r="F82" i="3"/>
  <c r="F59" i="3"/>
  <c r="F42" i="3"/>
  <c r="F104" i="3"/>
  <c r="F26" i="3"/>
  <c r="F20" i="14"/>
  <c r="D7" i="7" s="1"/>
  <c r="F7" i="7" s="1"/>
  <c r="G7" i="7" s="1"/>
  <c r="D46" i="1" s="1"/>
  <c r="C9" i="7"/>
  <c r="F9" i="7" s="1"/>
  <c r="G9" i="7" s="1"/>
  <c r="C8" i="7"/>
  <c r="C24" i="7" s="1"/>
  <c r="E24" i="7" s="1"/>
  <c r="G24" i="7" s="1"/>
  <c r="G4" i="14"/>
  <c r="G20" i="14" s="1"/>
  <c r="C20" i="14"/>
  <c r="C27" i="7"/>
  <c r="E27" i="7" s="1"/>
  <c r="G27" i="7" s="1"/>
  <c r="C6" i="7"/>
  <c r="F6" i="7" s="1"/>
  <c r="G6" i="7" s="1"/>
  <c r="D45" i="1" s="1"/>
  <c r="E25" i="6"/>
  <c r="G25" i="6" l="1"/>
  <c r="H104" i="3"/>
  <c r="H82" i="3"/>
  <c r="H59" i="3"/>
  <c r="H42" i="3"/>
  <c r="H26" i="3"/>
  <c r="F42" i="1"/>
  <c r="E42" i="1"/>
  <c r="D42" i="1"/>
  <c r="I26" i="1"/>
  <c r="I27" i="1" s="1"/>
  <c r="I28" i="1" s="1"/>
  <c r="C22" i="7"/>
  <c r="E22" i="7" s="1"/>
  <c r="G22" i="7" s="1"/>
  <c r="F36" i="1" s="1"/>
  <c r="H20" i="14"/>
  <c r="G28" i="7" s="1"/>
  <c r="F11" i="7"/>
  <c r="G11" i="7" s="1"/>
  <c r="C25" i="7"/>
  <c r="E25" i="7" s="1"/>
  <c r="G25" i="7" s="1"/>
  <c r="D40" i="1" s="1"/>
  <c r="H46" i="1"/>
  <c r="F46" i="1"/>
  <c r="E46" i="1"/>
  <c r="G46" i="1"/>
  <c r="I46" i="1"/>
  <c r="G26" i="1"/>
  <c r="G27" i="1" s="1"/>
  <c r="G28" i="1" s="1"/>
  <c r="H26" i="1"/>
  <c r="H27" i="1" s="1"/>
  <c r="H28" i="1" s="1"/>
  <c r="E26" i="1"/>
  <c r="E27" i="1" s="1"/>
  <c r="E28" i="1" s="1"/>
  <c r="F8" i="7"/>
  <c r="G8" i="7" s="1"/>
  <c r="H47" i="1" s="1"/>
  <c r="F26" i="1"/>
  <c r="F27" i="1" s="1"/>
  <c r="F28" i="1" s="1"/>
  <c r="F29" i="1" s="1"/>
  <c r="F45" i="1"/>
  <c r="C10" i="7"/>
  <c r="E45" i="1"/>
  <c r="G45" i="1"/>
  <c r="I45" i="1"/>
  <c r="H45" i="1"/>
  <c r="E48" i="1"/>
  <c r="G48" i="1"/>
  <c r="D48" i="1"/>
  <c r="H48" i="1"/>
  <c r="F48" i="1"/>
  <c r="I48" i="1"/>
  <c r="I42" i="1"/>
  <c r="G42" i="1"/>
  <c r="H42" i="1"/>
  <c r="H39" i="1"/>
  <c r="I39" i="1"/>
  <c r="D39" i="1"/>
  <c r="G39" i="1"/>
  <c r="F39" i="1"/>
  <c r="E39" i="1"/>
  <c r="D26" i="1" l="1"/>
  <c r="D27" i="1" s="1"/>
  <c r="E34" i="1"/>
  <c r="E35" i="1" s="1"/>
  <c r="E29" i="1"/>
  <c r="G34" i="1"/>
  <c r="G35" i="1" s="1"/>
  <c r="G29" i="1"/>
  <c r="H34" i="1"/>
  <c r="H35" i="1" s="1"/>
  <c r="H29" i="1"/>
  <c r="I34" i="1"/>
  <c r="I35" i="1" s="1"/>
  <c r="I29" i="1"/>
  <c r="F50" i="1"/>
  <c r="E50" i="1"/>
  <c r="D50" i="1"/>
  <c r="F34" i="1"/>
  <c r="F4" i="7"/>
  <c r="G4" i="7" s="1"/>
  <c r="G43" i="1" s="1"/>
  <c r="E11" i="2"/>
  <c r="E12" i="2" s="1"/>
  <c r="E36" i="1"/>
  <c r="H36" i="1"/>
  <c r="G36" i="1"/>
  <c r="D36" i="1"/>
  <c r="I36" i="1"/>
  <c r="H11" i="2"/>
  <c r="H12" i="2" s="1"/>
  <c r="C4" i="16"/>
  <c r="D4" i="16" s="1"/>
  <c r="E4" i="16" s="1"/>
  <c r="F11" i="2"/>
  <c r="F12" i="2" s="1"/>
  <c r="D11" i="2"/>
  <c r="D12" i="2" s="1"/>
  <c r="G11" i="2"/>
  <c r="G12" i="2" s="1"/>
  <c r="I38" i="1"/>
  <c r="D38" i="1"/>
  <c r="F38" i="1"/>
  <c r="G38" i="1"/>
  <c r="E38" i="1"/>
  <c r="H38" i="1"/>
  <c r="F40" i="1"/>
  <c r="G40" i="1"/>
  <c r="I50" i="1"/>
  <c r="H50" i="1"/>
  <c r="H40" i="1"/>
  <c r="E40" i="1"/>
  <c r="I40" i="1"/>
  <c r="I47" i="1"/>
  <c r="G50" i="1"/>
  <c r="E47" i="1"/>
  <c r="D47" i="1"/>
  <c r="G47" i="1"/>
  <c r="F47" i="1"/>
  <c r="C26" i="7"/>
  <c r="E26" i="7" s="1"/>
  <c r="G26" i="7" s="1"/>
  <c r="F10" i="7"/>
  <c r="G10" i="7" s="1"/>
  <c r="D28" i="1" l="1"/>
  <c r="D29" i="1" s="1"/>
  <c r="C5" i="16"/>
  <c r="D5" i="16" s="1"/>
  <c r="E5" i="16" s="1"/>
  <c r="F43" i="1"/>
  <c r="F35" i="1"/>
  <c r="D43" i="1"/>
  <c r="I43" i="1"/>
  <c r="H43" i="1"/>
  <c r="E43" i="1"/>
  <c r="F16" i="2"/>
  <c r="G16" i="2"/>
  <c r="D16" i="2"/>
  <c r="E16" i="2"/>
  <c r="H16" i="2"/>
  <c r="I49" i="1"/>
  <c r="G49" i="1"/>
  <c r="F49" i="1"/>
  <c r="E49" i="1"/>
  <c r="D49" i="1"/>
  <c r="H49" i="1"/>
  <c r="I41" i="1"/>
  <c r="H41" i="1"/>
  <c r="H55" i="1" s="1"/>
  <c r="G41" i="1"/>
  <c r="G55" i="1" s="1"/>
  <c r="D41" i="1"/>
  <c r="D54" i="1" s="1"/>
  <c r="F41" i="1"/>
  <c r="E41" i="1"/>
  <c r="E55" i="1" s="1"/>
  <c r="C11" i="2" l="1"/>
  <c r="C12" i="2" s="1"/>
  <c r="C16" i="2" s="1"/>
  <c r="D34" i="1"/>
  <c r="D35" i="1" s="1"/>
  <c r="F55" i="1"/>
  <c r="I55" i="1"/>
  <c r="D56" i="1"/>
  <c r="D57" i="1" s="1"/>
  <c r="D59" i="1" s="1"/>
  <c r="E51" i="1" s="1"/>
  <c r="E54" i="1" s="1"/>
  <c r="C6" i="16"/>
  <c r="D6" i="16" s="1"/>
  <c r="E6" i="16" s="1"/>
  <c r="D55" i="1" l="1"/>
  <c r="D58" i="1"/>
  <c r="E56" i="1" l="1"/>
  <c r="E57" i="1" s="1"/>
  <c r="E58" i="1" l="1"/>
  <c r="E59" i="1"/>
  <c r="F51" i="1" s="1"/>
  <c r="F54" i="1" l="1"/>
  <c r="F56" i="1" s="1"/>
  <c r="F57" i="1" s="1"/>
  <c r="F58" i="1" s="1"/>
  <c r="F59" i="1" l="1"/>
  <c r="G51" i="1" s="1"/>
  <c r="G54" i="1" s="1"/>
  <c r="G56" i="1" s="1"/>
  <c r="G57" i="1" s="1"/>
  <c r="G58" i="1" l="1"/>
  <c r="G59" i="1"/>
  <c r="H51" i="1" s="1"/>
  <c r="H54" i="1" s="1"/>
  <c r="H56" i="1" l="1"/>
  <c r="H57" i="1" s="1"/>
  <c r="H59" i="1" s="1"/>
  <c r="C4" i="8" s="1"/>
  <c r="C8" i="8" s="1"/>
  <c r="H58" i="1" l="1"/>
  <c r="I53" i="1"/>
  <c r="I54" i="1" s="1"/>
  <c r="C7" i="16" l="1"/>
  <c r="D7" i="16" s="1"/>
  <c r="E7" i="16" s="1"/>
  <c r="I56" i="1"/>
  <c r="D6" i="9" s="1"/>
  <c r="E5" i="9" l="1"/>
  <c r="E4" i="9"/>
  <c r="E7" i="9"/>
  <c r="D8" i="9"/>
  <c r="E8" i="9"/>
  <c r="F8" i="9"/>
  <c r="D7" i="9"/>
  <c r="F7" i="9"/>
  <c r="E6" i="9"/>
  <c r="D9" i="9"/>
  <c r="I57" i="1"/>
  <c r="I58" i="1" s="1"/>
  <c r="F5" i="9"/>
  <c r="E9" i="9"/>
  <c r="D5" i="9"/>
  <c r="F9" i="9"/>
  <c r="F4" i="9"/>
  <c r="D4" i="9"/>
  <c r="F6" i="9"/>
</calcChain>
</file>

<file path=xl/sharedStrings.xml><?xml version="1.0" encoding="utf-8"?>
<sst xmlns="http://schemas.openxmlformats.org/spreadsheetml/2006/main" count="861" uniqueCount="490">
  <si>
    <t>By R. Karina Gallardo, Suzette P. Galinato and Bernardita Sallato</t>
  </si>
  <si>
    <t>Instructions for Using the Spreadsheets</t>
  </si>
  <si>
    <t>1.</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</si>
  <si>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</si>
  <si>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2.</t>
  </si>
  <si>
    <r>
      <t xml:space="preserve">Values in </t>
    </r>
    <r>
      <rPr>
        <b/>
        <sz val="11"/>
        <rFont val="Times New Roman"/>
        <family val="1"/>
      </rPr>
      <t>black</t>
    </r>
    <r>
      <rPr>
        <sz val="11"/>
        <rFont val="Times New Roman"/>
        <family val="1"/>
      </rPr>
      <t xml:space="preserve"> are calculated using the input data and cannot be modified.</t>
    </r>
  </si>
  <si>
    <t>3.</t>
  </si>
  <si>
    <t>4.</t>
  </si>
  <si>
    <t xml:space="preserve">Budget Assumptions </t>
  </si>
  <si>
    <t>The area of the total farm operation is 300 acres of mixed conventional tree fruits. Bearing acres include: 225 acres of apples (75% of total area); 48 acres of sweet cherries (16%), and 27 acres of pears (9%).</t>
  </si>
  <si>
    <t>The total value of bare agricultural land (including senior water rights) is $20,000 per acre with annual property taxes of $200 per acre.</t>
  </si>
  <si>
    <t>The irrigation system consists of overhead cooling and under tree drip lines, with two separate sub-main lines. Water is provided through a public irrigation district.</t>
  </si>
  <si>
    <t>5.</t>
  </si>
  <si>
    <t>The pond is installed in Year 1.</t>
  </si>
  <si>
    <t>6.</t>
  </si>
  <si>
    <t>Cultural practices and harvest activities are done by using a combination of manual labor, ladders and labor-enhancing equipment. The hourly manual labor rate for 2024 is $23.75/hour, calculated using the base Washington adverse wage rate for 2024 of $19.25/hour, plus H2A fixed cost of $4.50/hour. For fertilizer application and frost protection, labor rate is $24.75/hour, a dollar more than manual labor rate. For chemical application and irrigation, labor rate is $27.79/hour, including overtime and H2A fixed cost. Harvest labor rates follow the Agricultural Wage and Practices Employer Survey, plus mandated paid rest breaks and paid overtime. These labor rates are assumed the same for all years of production.</t>
  </si>
  <si>
    <t>10.</t>
  </si>
  <si>
    <t>The gross return is $35 per 40-lb box or $647.50 per 925-lb bin.</t>
  </si>
  <si>
    <t>11.</t>
  </si>
  <si>
    <r>
      <t>Average pack-out for Cosmic Crisp</t>
    </r>
    <r>
      <rPr>
        <vertAlign val="superscript"/>
        <sz val="11"/>
        <rFont val="Times New Roman"/>
        <family val="1"/>
      </rPr>
      <t>®</t>
    </r>
    <r>
      <rPr>
        <sz val="11"/>
        <rFont val="Times New Roman"/>
        <family val="1"/>
      </rPr>
      <t xml:space="preserve"> is 80%.</t>
    </r>
  </si>
  <si>
    <t>12.</t>
  </si>
  <si>
    <t xml:space="preserve">Warehouse packing charges assume a 925-lb bin. </t>
  </si>
  <si>
    <t>13.</t>
  </si>
  <si>
    <t>14.</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</si>
  <si>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</si>
  <si>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15.</t>
  </si>
  <si>
    <r>
      <t>The Cosmic Crisp</t>
    </r>
    <r>
      <rPr>
        <vertAlign val="superscript"/>
        <sz val="11"/>
        <rFont val="Times New Roman"/>
        <family val="1"/>
      </rPr>
      <t>®</t>
    </r>
    <r>
      <rPr>
        <sz val="11"/>
        <rFont val="Times New Roman"/>
        <family val="1"/>
      </rPr>
      <t xml:space="preserve"> block specifications are as follows:</t>
    </r>
  </si>
  <si>
    <t>Architecture</t>
  </si>
  <si>
    <t>Train each level branches straight down to the wire</t>
  </si>
  <si>
    <t>In-row Spacing</t>
  </si>
  <si>
    <t>Between-row Spacing</t>
  </si>
  <si>
    <t>10 feet</t>
  </si>
  <si>
    <t>Rootstock</t>
  </si>
  <si>
    <t>G-41</t>
  </si>
  <si>
    <t>Productive Block Size</t>
  </si>
  <si>
    <t xml:space="preserve">10 acres </t>
  </si>
  <si>
    <t>Life of Planting</t>
  </si>
  <si>
    <t>20 years</t>
  </si>
  <si>
    <t>Tree Density</t>
  </si>
  <si>
    <t>Trellis System</t>
  </si>
  <si>
    <t xml:space="preserve"> Year 1</t>
  </si>
  <si>
    <t>Year 2</t>
  </si>
  <si>
    <t>Year 3</t>
  </si>
  <si>
    <t>Year 4</t>
  </si>
  <si>
    <t>Year 5</t>
  </si>
  <si>
    <t>TOTAL RETURNS ($/acre)</t>
  </si>
  <si>
    <t>Soil Preparation</t>
  </si>
  <si>
    <t>Trees (including labor)</t>
  </si>
  <si>
    <t>Irrigation Water &amp; Electric Charge</t>
  </si>
  <si>
    <r>
      <t>Frost Protection (labor)</t>
    </r>
    <r>
      <rPr>
        <vertAlign val="superscript"/>
        <sz val="11"/>
        <rFont val="Times New Roman"/>
        <family val="1"/>
      </rPr>
      <t>G</t>
    </r>
  </si>
  <si>
    <t>Beehives</t>
  </si>
  <si>
    <r>
      <t>General Farm Labor</t>
    </r>
    <r>
      <rPr>
        <vertAlign val="superscript"/>
        <sz val="11"/>
        <rFont val="Times New Roman"/>
        <family val="1"/>
      </rPr>
      <t>I</t>
    </r>
  </si>
  <si>
    <t>Picking Labor</t>
  </si>
  <si>
    <t>Other Labor (checkers, tractor drivers, supervisors)</t>
  </si>
  <si>
    <t>Hauling Apples</t>
  </si>
  <si>
    <t>Maintenance &amp; Repair</t>
  </si>
  <si>
    <t>Fuel &amp; Lube</t>
  </si>
  <si>
    <t>Total Variable Costs</t>
  </si>
  <si>
    <t>Miscellaneous Supplies</t>
  </si>
  <si>
    <t>Land &amp; Property Taxes</t>
  </si>
  <si>
    <t>Insurance Cost (crop and farm)</t>
  </si>
  <si>
    <t>Total Fixed Cash Cost</t>
  </si>
  <si>
    <t>Total Cash Costs</t>
  </si>
  <si>
    <t>Return over Cash Costs</t>
  </si>
  <si>
    <t>Depreciation</t>
  </si>
  <si>
    <t>Irrigation System</t>
  </si>
  <si>
    <t>Machinery, Equipment, &amp; Building</t>
  </si>
  <si>
    <t>Mainline &amp; Pump</t>
  </si>
  <si>
    <t>Pond</t>
  </si>
  <si>
    <t>Trellis</t>
  </si>
  <si>
    <t>Wind Machine</t>
  </si>
  <si>
    <t>Interest</t>
  </si>
  <si>
    <t xml:space="preserve">Wind Machine </t>
  </si>
  <si>
    <t>Establishment Costs (5%)</t>
  </si>
  <si>
    <t>Management Cost</t>
  </si>
  <si>
    <t>Total Fixed Non-Cash Costs</t>
  </si>
  <si>
    <t>Return over Cash Costs and Depreciation</t>
  </si>
  <si>
    <t>Total Fixed Costs</t>
  </si>
  <si>
    <t>ESTIMATED NET RETURNS</t>
  </si>
  <si>
    <t>Accumulated Establishment Costs</t>
  </si>
  <si>
    <t>Notes:</t>
  </si>
  <si>
    <r>
      <t>Gross Yield (bins/acre)</t>
    </r>
    <r>
      <rPr>
        <b/>
        <vertAlign val="superscript"/>
        <sz val="11"/>
        <rFont val="Times New Roman"/>
        <family val="1"/>
      </rPr>
      <t>B</t>
    </r>
  </si>
  <si>
    <r>
      <t>Net Yield (bins/acre)</t>
    </r>
    <r>
      <rPr>
        <b/>
        <vertAlign val="superscript"/>
        <sz val="11"/>
        <rFont val="Times New Roman"/>
        <family val="1"/>
      </rPr>
      <t>B</t>
    </r>
  </si>
  <si>
    <t>Overhead cost</t>
  </si>
  <si>
    <t>Interest cost</t>
  </si>
  <si>
    <t xml:space="preserve">A. Includes amortized establishment costs. Net return is what the grower receives after all costs (for example, production expenses and packing costs) have been accounted. </t>
  </si>
  <si>
    <t>B. Assumes a 925-lb bin. Considers an average pack-out of:</t>
  </si>
  <si>
    <t>Cost ($/acre)</t>
  </si>
  <si>
    <t>D</t>
  </si>
  <si>
    <t>E</t>
  </si>
  <si>
    <t>Total Cost</t>
  </si>
  <si>
    <t>G</t>
  </si>
  <si>
    <t>Net Yield (bin/acre) =</t>
  </si>
  <si>
    <t>Land (11 acres)</t>
  </si>
  <si>
    <t>Sunburn Protection - Netting</t>
  </si>
  <si>
    <r>
      <t>Operating Expenses</t>
    </r>
    <r>
      <rPr>
        <vertAlign val="superscript"/>
        <sz val="11"/>
        <rFont val="Times New Roman"/>
        <family val="1"/>
      </rPr>
      <t>B</t>
    </r>
  </si>
  <si>
    <t>Total Requirements ($)</t>
  </si>
  <si>
    <t>Receipts ($)</t>
  </si>
  <si>
    <t>Net Requirements ($)</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</si>
  <si>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20).</t>
    </r>
  </si>
  <si>
    <t>B. Operating expenses is the sum of the total variable costs, miscellaneous supplies, land and property taxes, insurance cost, and management cost.</t>
  </si>
  <si>
    <t>Description</t>
  </si>
  <si>
    <r>
      <t>Purchase Price ($)</t>
    </r>
    <r>
      <rPr>
        <b/>
        <vertAlign val="superscript"/>
        <sz val="11"/>
        <rFont val="Times New Roman"/>
        <family val="1"/>
      </rPr>
      <t>A</t>
    </r>
  </si>
  <si>
    <t>Number of Units</t>
  </si>
  <si>
    <t>Total Cost ($)</t>
  </si>
  <si>
    <t>Housing for Manager</t>
  </si>
  <si>
    <r>
      <t>Machine Shop/Shed</t>
    </r>
    <r>
      <rPr>
        <vertAlign val="superscript"/>
        <sz val="11"/>
        <color theme="9" tint="-0.249977111117893"/>
        <rFont val="Times New Roman"/>
        <family val="1"/>
      </rPr>
      <t>B</t>
    </r>
  </si>
  <si>
    <t>Tractor-70HP, 4WD</t>
  </si>
  <si>
    <t>70HP, 4WD</t>
  </si>
  <si>
    <t>Tractor-40HP, 4WD</t>
  </si>
  <si>
    <t>40HP, 4WD</t>
  </si>
  <si>
    <t>4-Wheeler</t>
  </si>
  <si>
    <t>2WD</t>
  </si>
  <si>
    <t>Speed Sprayer</t>
  </si>
  <si>
    <t>Weed Spray Boom &amp; Tank</t>
  </si>
  <si>
    <t>Mower-Rotary</t>
  </si>
  <si>
    <t>7 ft</t>
  </si>
  <si>
    <t>Flail Mower</t>
  </si>
  <si>
    <t>Fork Lift</t>
  </si>
  <si>
    <t>Bin Trailer</t>
  </si>
  <si>
    <t>Pickup Truck</t>
  </si>
  <si>
    <t>Full size</t>
  </si>
  <si>
    <t>Ladder</t>
  </si>
  <si>
    <t>8 ft</t>
  </si>
  <si>
    <t>Platforms</t>
  </si>
  <si>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</si>
  <si>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</si>
  <si>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 xml:space="preserve">Notes: </t>
  </si>
  <si>
    <r>
      <t>Machinery, equipment, and building requirements are utilized in growing diverse crops in the 300-acre farm, which include Cosmic Crisp</t>
    </r>
    <r>
      <rPr>
        <vertAlign val="superscript"/>
        <sz val="10"/>
        <rFont val="Times New Roman"/>
        <family val="1"/>
      </rPr>
      <t>®</t>
    </r>
    <r>
      <rPr>
        <sz val="10"/>
        <rFont val="Times New Roman"/>
        <family val="1"/>
      </rPr>
      <t xml:space="preserve"> apples. The costs of fixed capital are allocated on the entire farm operation.</t>
    </r>
  </si>
  <si>
    <t>A. Purchase price corresponds to new machinery, equipment or building.</t>
  </si>
  <si>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</si>
  <si>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</si>
  <si>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</si>
  <si>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t>Total Purchase Price ($)</t>
  </si>
  <si>
    <r>
      <t>Salvage Value ($)</t>
    </r>
    <r>
      <rPr>
        <b/>
        <vertAlign val="superscript"/>
        <sz val="11"/>
        <color indexed="8"/>
        <rFont val="Times New Roman"/>
        <family val="1"/>
      </rPr>
      <t>A</t>
    </r>
  </si>
  <si>
    <t>Number of Acres</t>
  </si>
  <si>
    <t>Total Interest Cost ($)</t>
  </si>
  <si>
    <r>
      <t>Interest Cost Per Acre ($)</t>
    </r>
    <r>
      <rPr>
        <b/>
        <vertAlign val="superscript"/>
        <sz val="11"/>
        <color indexed="8"/>
        <rFont val="Times New Roman"/>
        <family val="1"/>
      </rPr>
      <t>B</t>
    </r>
  </si>
  <si>
    <r>
      <t>Irrigation System</t>
    </r>
    <r>
      <rPr>
        <vertAlign val="superscript"/>
        <sz val="11"/>
        <rFont val="Times New Roman"/>
        <family val="1"/>
      </rPr>
      <t>C</t>
    </r>
  </si>
  <si>
    <r>
      <t>Sunburn Protection - Netting</t>
    </r>
    <r>
      <rPr>
        <vertAlign val="superscript"/>
        <sz val="11"/>
        <rFont val="Times New Roman"/>
        <family val="1"/>
      </rPr>
      <t>C</t>
    </r>
  </si>
  <si>
    <t>Land</t>
  </si>
  <si>
    <t>N/A</t>
  </si>
  <si>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</si>
  <si>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</si>
  <si>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</si>
  <si>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</si>
  <si>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</si>
  <si>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t>Interest Rate</t>
  </si>
  <si>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</si>
  <si>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</si>
  <si>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C. The irrigation system, reflective ground cloth for sunburn protection, mainline and pump, pond, trellis system and wind machine are used for the direct production of  the fruit. Hence, their respective interest costs are divided by the production area (10 acres) to get the interest cost per acre.</t>
  </si>
  <si>
    <t>D. Total area of the farm operation is 300 acres and the machinery, equipment, and building are used in the entire, diverse cultivar farm. Thus, the corresponding interest costs are divided by the total area (300 acres) to derive the interest cost per acre.</t>
  </si>
  <si>
    <t>Total Value Per Acre ($)</t>
  </si>
  <si>
    <t>Years of Useful Life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</si>
  <si>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</si>
  <si>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</si>
  <si>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</si>
  <si>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t>Cost per Unit ($)</t>
  </si>
  <si>
    <t>Units per Acre</t>
  </si>
  <si>
    <t>Cost per Acre ($)</t>
  </si>
  <si>
    <t>Total Cost for Block ($)</t>
  </si>
  <si>
    <t>Year 1</t>
  </si>
  <si>
    <t>Mainline and Pump</t>
  </si>
  <si>
    <r>
      <t>Pond and filters with liners (custom)</t>
    </r>
    <r>
      <rPr>
        <vertAlign val="superscript"/>
        <sz val="11"/>
        <rFont val="Times New Roman"/>
        <family val="1"/>
      </rPr>
      <t>B</t>
    </r>
  </si>
  <si>
    <r>
      <t>Pruning and Training (labor)</t>
    </r>
    <r>
      <rPr>
        <vertAlign val="superscript"/>
        <sz val="11"/>
        <rFont val="Times New Roman"/>
        <family val="1"/>
      </rPr>
      <t>C</t>
    </r>
  </si>
  <si>
    <r>
      <t>Thinning (labor)</t>
    </r>
    <r>
      <rPr>
        <vertAlign val="superscript"/>
        <sz val="11"/>
        <rFont val="Times New Roman"/>
        <family val="1"/>
      </rPr>
      <t>D</t>
    </r>
  </si>
  <si>
    <r>
      <t>Chemicals</t>
    </r>
    <r>
      <rPr>
        <vertAlign val="superscript"/>
        <sz val="11"/>
        <rFont val="Times New Roman"/>
        <family val="1"/>
      </rPr>
      <t>E</t>
    </r>
  </si>
  <si>
    <t>Irrigation Water</t>
  </si>
  <si>
    <t>Irrigation/Electric Charge</t>
  </si>
  <si>
    <r>
      <t>Irrigation Labor</t>
    </r>
    <r>
      <rPr>
        <vertAlign val="superscript"/>
        <sz val="11"/>
        <rFont val="Times New Roman"/>
        <family val="1"/>
      </rPr>
      <t>I</t>
    </r>
  </si>
  <si>
    <r>
      <t>Wind Machine (unit and installation labor)</t>
    </r>
    <r>
      <rPr>
        <vertAlign val="superscript"/>
        <sz val="11"/>
        <rFont val="Times New Roman"/>
        <family val="1"/>
      </rPr>
      <t>J</t>
    </r>
  </si>
  <si>
    <r>
      <t>Maintenance &amp; Repair</t>
    </r>
    <r>
      <rPr>
        <vertAlign val="superscript"/>
        <sz val="11"/>
        <rFont val="Times New Roman"/>
        <family val="1"/>
      </rPr>
      <t>K</t>
    </r>
  </si>
  <si>
    <r>
      <t>Fuel &amp; Lube</t>
    </r>
    <r>
      <rPr>
        <vertAlign val="superscript"/>
        <sz val="11"/>
        <rFont val="Times New Roman"/>
        <family val="1"/>
      </rPr>
      <t>L</t>
    </r>
  </si>
  <si>
    <r>
      <t>General Farm Labor</t>
    </r>
    <r>
      <rPr>
        <vertAlign val="superscript"/>
        <sz val="11"/>
        <rFont val="Times New Roman"/>
        <family val="1"/>
      </rPr>
      <t>M</t>
    </r>
  </si>
  <si>
    <t>Insurance (all farm)</t>
  </si>
  <si>
    <r>
      <t>Management Overhead</t>
    </r>
    <r>
      <rPr>
        <vertAlign val="superscript"/>
        <sz val="11"/>
        <rFont val="Times New Roman"/>
        <family val="1"/>
      </rPr>
      <t>N</t>
    </r>
  </si>
  <si>
    <r>
      <t>Irrigation LaborI</t>
    </r>
    <r>
      <rPr>
        <vertAlign val="superscript"/>
        <sz val="11"/>
        <rFont val="Times New Roman"/>
        <family val="1"/>
      </rPr>
      <t>I</t>
    </r>
  </si>
  <si>
    <t>Packing Costs (per bin)</t>
  </si>
  <si>
    <t>A. Includes land for roads and buildings.</t>
  </si>
  <si>
    <t xml:space="preserve">B. Costs assume a lined pond.  </t>
  </si>
  <si>
    <t>C. Hand labor rate is $23.75/hour and includes applicable taxes and benefits. Applied to pruning, training and weed control.</t>
  </si>
  <si>
    <t>D. Hand thinning and chemical thinning labor cost.</t>
  </si>
  <si>
    <t>E. Includes the costs of materials and labor.</t>
  </si>
  <si>
    <t>F. Includes all types of fertilizer used.</t>
  </si>
  <si>
    <t>G. Tractor/machinery or higher skilled labor rate is $24.75/hour and includes applicable taxes and benefits. This rate is applied to fertilizer labor application (after soil preparation) and frost protection labor.</t>
  </si>
  <si>
    <t>H. There is no labor from Years 1 to 2 because fertilizer application is all done through fertigation.</t>
  </si>
  <si>
    <t>I. Chemical application labor and irrigation labor are $27.79/hour, including applicable taxes and benefits.</t>
  </si>
  <si>
    <t>J. Wind machine installation labor is $20.25/hour and includes applicable taxes and benefits.</t>
  </si>
  <si>
    <t>K. Includes maintenance and repairs of mainline, pump and pond; irrigation system; trellis system; wind machine and alarm system and machinery.</t>
  </si>
  <si>
    <t>L. Fuel and lube cost includes propane cost for wind machine starting Year 3.</t>
  </si>
  <si>
    <t>M.  Refers to miscellaneous or all other labor (lump sum). Rate includes applicable taxes and benefits.</t>
  </si>
  <si>
    <t>N. Includes management salary, cellphone, gas, etc.</t>
  </si>
  <si>
    <r>
      <t>Pruning and Training (labor)</t>
    </r>
    <r>
      <rPr>
        <vertAlign val="superscript"/>
        <sz val="11"/>
        <rFont val="Times New Roman"/>
        <family val="1"/>
      </rPr>
      <t>A</t>
    </r>
  </si>
  <si>
    <r>
      <t>Thinning (labor)</t>
    </r>
    <r>
      <rPr>
        <vertAlign val="superscript"/>
        <sz val="11"/>
        <rFont val="Times New Roman"/>
        <family val="1"/>
      </rPr>
      <t>B</t>
    </r>
  </si>
  <si>
    <r>
      <t>Chemicals</t>
    </r>
    <r>
      <rPr>
        <vertAlign val="superscript"/>
        <sz val="11"/>
        <rFont val="Times New Roman"/>
        <family val="1"/>
      </rPr>
      <t>C</t>
    </r>
  </si>
  <si>
    <r>
      <t>Irrigation Labor</t>
    </r>
    <r>
      <rPr>
        <vertAlign val="superscript"/>
        <sz val="11"/>
        <rFont val="Times New Roman"/>
        <family val="1"/>
      </rPr>
      <t>F</t>
    </r>
  </si>
  <si>
    <r>
      <t>Frost Protection (labor)</t>
    </r>
    <r>
      <rPr>
        <vertAlign val="superscript"/>
        <sz val="11"/>
        <rFont val="Times New Roman"/>
        <family val="1"/>
      </rPr>
      <t>E</t>
    </r>
  </si>
  <si>
    <r>
      <t>Maintenance &amp; Repair</t>
    </r>
    <r>
      <rPr>
        <vertAlign val="superscript"/>
        <sz val="11"/>
        <rFont val="Times New Roman"/>
        <family val="1"/>
      </rPr>
      <t>G</t>
    </r>
  </si>
  <si>
    <r>
      <t>Fuel &amp; Lube</t>
    </r>
    <r>
      <rPr>
        <vertAlign val="superscript"/>
        <sz val="11"/>
        <rFont val="Times New Roman"/>
        <family val="1"/>
      </rPr>
      <t>H</t>
    </r>
  </si>
  <si>
    <t>Insurance (crop and farm)</t>
  </si>
  <si>
    <r>
      <t>Management Overhead</t>
    </r>
    <r>
      <rPr>
        <vertAlign val="superscript"/>
        <sz val="11"/>
        <rFont val="Times New Roman"/>
        <family val="1"/>
      </rPr>
      <t>J</t>
    </r>
  </si>
  <si>
    <t>A. Hand labor rate is $23.75/hour and includes applicable taxes and benefits. Applied to pruning, training and weed control.</t>
  </si>
  <si>
    <t>B. Hand thinning and chemical thinning labor cost.</t>
  </si>
  <si>
    <t>C. Includes the costs of materials and labor.</t>
  </si>
  <si>
    <t>D. Includes all types of fertilizer used.</t>
  </si>
  <si>
    <t>E. Tractor/machinery or higher skilled labor rate is $24.75/hour and includes applicable taxes and benefits. This rate is also applied to fertilizer labor application (after soil preparation) and frost protection labor.</t>
  </si>
  <si>
    <t>F. Chemical application labor and irrigation labor are $27.79/hour, including applicable taxes and benefits.</t>
  </si>
  <si>
    <t>G. Includes maintenance and repairs of mainline, pump and pond; irrigation system; trellis system; wind machine and alarm system and machinery.</t>
  </si>
  <si>
    <t>H. Fuel and Lube cost includes propane cost for wind machine.</t>
  </si>
  <si>
    <t>I. Refers to miscellaneous or all other labor (lump sum). Rate includes applicable taxes and benefits.</t>
  </si>
  <si>
    <t>J. Includes management salary, cellphone, gas, etc.</t>
  </si>
  <si>
    <r>
      <t>Expected useful life (years)</t>
    </r>
    <r>
      <rPr>
        <b/>
        <vertAlign val="superscript"/>
        <sz val="11"/>
        <rFont val="Times New Roman"/>
        <family val="1"/>
      </rPr>
      <t>E</t>
    </r>
  </si>
  <si>
    <r>
      <t>Annual Depreciation Cost ($)</t>
    </r>
    <r>
      <rPr>
        <b/>
        <vertAlign val="superscript"/>
        <sz val="11"/>
        <rFont val="Times New Roman"/>
        <family val="1"/>
      </rPr>
      <t>G</t>
    </r>
  </si>
  <si>
    <r>
      <t>Annual Depreciation Cost per Acre ($)</t>
    </r>
    <r>
      <rPr>
        <b/>
        <vertAlign val="superscript"/>
        <sz val="11"/>
        <color theme="1"/>
        <rFont val="Times New Roman"/>
        <family val="1"/>
      </rPr>
      <t>H</t>
    </r>
  </si>
  <si>
    <r>
      <t>Salvage Value ($)</t>
    </r>
    <r>
      <rPr>
        <b/>
        <vertAlign val="superscript"/>
        <sz val="11"/>
        <rFont val="Times New Roman"/>
        <family val="1"/>
      </rPr>
      <t>F</t>
    </r>
  </si>
  <si>
    <t>Housing for manager</t>
  </si>
  <si>
    <r>
      <t>Machine shop/shed</t>
    </r>
    <r>
      <rPr>
        <vertAlign val="superscript"/>
        <sz val="11"/>
        <rFont val="Times New Roman"/>
        <family val="1"/>
      </rPr>
      <t>A</t>
    </r>
  </si>
  <si>
    <t>4 wheeler</t>
  </si>
  <si>
    <t>Speed sprayer</t>
  </si>
  <si>
    <t>Weed spray boom &amp; tank</t>
  </si>
  <si>
    <t>Mower-rotary (7 ft)</t>
  </si>
  <si>
    <t>Flail mower</t>
  </si>
  <si>
    <t>Fork lift</t>
  </si>
  <si>
    <t>Bin trailer</t>
  </si>
  <si>
    <t>Pick-up</t>
  </si>
  <si>
    <t>Ladder-8'</t>
  </si>
  <si>
    <r>
      <t>Miscellaneous equipment</t>
    </r>
    <r>
      <rPr>
        <vertAlign val="superscript"/>
        <sz val="11"/>
        <rFont val="Times New Roman"/>
        <family val="1"/>
      </rPr>
      <t>B</t>
    </r>
  </si>
  <si>
    <r>
      <t>Shop equipment</t>
    </r>
    <r>
      <rPr>
        <vertAlign val="superscript"/>
        <sz val="11"/>
        <rFont val="Times New Roman"/>
        <family val="1"/>
      </rPr>
      <t>C</t>
    </r>
  </si>
  <si>
    <t>Total</t>
  </si>
  <si>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</si>
  <si>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</si>
  <si>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</si>
  <si>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</si>
  <si>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</si>
  <si>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</si>
  <si>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</si>
  <si>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t>H. Depreciation cost is divided by total farm acreage (300 acres) in order to derive the per acre cost.</t>
  </si>
  <si>
    <t>Dollar amount to be amortized</t>
  </si>
  <si>
    <r>
      <t>Number of years</t>
    </r>
    <r>
      <rPr>
        <vertAlign val="superscript"/>
        <sz val="11"/>
        <color indexed="8"/>
        <rFont val="Times New Roman"/>
        <family val="1"/>
      </rPr>
      <t>A</t>
    </r>
  </si>
  <si>
    <t>Amortized Amount Per Year</t>
  </si>
  <si>
    <t xml:space="preserve">A. Total life of planting - establishment years </t>
  </si>
  <si>
    <t>Year 6 to 20 (Full Production)</t>
  </si>
  <si>
    <t>Notes</t>
  </si>
  <si>
    <t xml:space="preserve">FOB price </t>
  </si>
  <si>
    <t>FOB packinghouse door price ($/40-lb box)</t>
  </si>
  <si>
    <t>5-year average FOB price between 2019 and 2024</t>
  </si>
  <si>
    <t>FOB packinghouse door price ($/bin)</t>
  </si>
  <si>
    <t>Crop yield</t>
  </si>
  <si>
    <t>Gross Production per acre (lbs)</t>
  </si>
  <si>
    <t>Picking begins in Year 4</t>
  </si>
  <si>
    <t>Gross Production per acre (tons)</t>
  </si>
  <si>
    <t>What is the reasonable fruit size profile to assume in the study?</t>
  </si>
  <si>
    <t>Gross Production per acre (bins)</t>
  </si>
  <si>
    <t>Based on a 925-lb bin</t>
  </si>
  <si>
    <t>Land cost (value of land with water rights)</t>
  </si>
  <si>
    <t>Considering the value of land where there had been fruit trees. The trees are removed to plant the Honeycrisp block.</t>
  </si>
  <si>
    <t>Soil prep</t>
  </si>
  <si>
    <t>Soil sample (custom)</t>
  </si>
  <si>
    <t>Fumigation (custom)</t>
  </si>
  <si>
    <t>Rip and disk ground (custom)</t>
  </si>
  <si>
    <t>Fertilizer - material cost</t>
  </si>
  <si>
    <t>Including all fertilizer</t>
  </si>
  <si>
    <t>Fertilizer - labor hour</t>
  </si>
  <si>
    <t>Fertilizer - labor cost</t>
  </si>
  <si>
    <t>Tree removal (custom)</t>
  </si>
  <si>
    <t>Includes removal, wood chipping, and incorporating in the soil.</t>
  </si>
  <si>
    <t>Trees</t>
  </si>
  <si>
    <t>Planted trees per acre</t>
  </si>
  <si>
    <t>Tree cost per unit</t>
  </si>
  <si>
    <t>Includes Geneva tree royalty to rootstock; 1/2 caliper; includes per tree royalty of $1 to NNII</t>
  </si>
  <si>
    <t xml:space="preserve">Hours to plant a tree </t>
  </si>
  <si>
    <t>Cost of labor per hour</t>
  </si>
  <si>
    <t>Trellis (total cost)</t>
  </si>
  <si>
    <t>Sunburn protection</t>
  </si>
  <si>
    <t>Netting</t>
  </si>
  <si>
    <t>Deployment and roll back</t>
  </si>
  <si>
    <t>Irrigation installation</t>
  </si>
  <si>
    <t>Laterals, sprinklers, sub-lines</t>
  </si>
  <si>
    <t>Considers overhead cooling with micro sprinklers.</t>
  </si>
  <si>
    <t>Installation labor</t>
  </si>
  <si>
    <t>Mainline</t>
  </si>
  <si>
    <t>Pumps (irrigation and frost), centrifugal</t>
  </si>
  <si>
    <t>Pond and filters with liners (purchase and installation)</t>
  </si>
  <si>
    <t>With liners for water conservation</t>
  </si>
  <si>
    <t>Pruning and training</t>
  </si>
  <si>
    <t>Hours of pruning</t>
  </si>
  <si>
    <t>Hours of training</t>
  </si>
  <si>
    <t>Thinning</t>
  </si>
  <si>
    <t>Hours of hand thinning labor</t>
  </si>
  <si>
    <t>No manual thinning in WA38.</t>
  </si>
  <si>
    <t>Hours of chemical thinning</t>
  </si>
  <si>
    <t>No chemical thinning in WA38.</t>
  </si>
  <si>
    <t>Chemicals</t>
  </si>
  <si>
    <t>Cost chemicals, materials</t>
  </si>
  <si>
    <t xml:space="preserve">All chemicals (fungicide, fireblight prevention, disease prevention, insecticide, herbicide. </t>
  </si>
  <si>
    <t>Hours of chemical application</t>
  </si>
  <si>
    <t>Fertilizer after Soil Prep</t>
  </si>
  <si>
    <t>Cost of fertilizer - material</t>
  </si>
  <si>
    <t>All foliar fertilizer and ground fertilizer.</t>
  </si>
  <si>
    <t>Hours of fertilizer application</t>
  </si>
  <si>
    <t>No labor during Year 1 because fertilizer application is done through fertigation. In Years 2-Full Prod, costs based on 1 broadcast application.</t>
  </si>
  <si>
    <t>Irrigation</t>
  </si>
  <si>
    <t>Water</t>
  </si>
  <si>
    <t>Irrigation/electric charge</t>
  </si>
  <si>
    <t xml:space="preserve">Irrigation </t>
  </si>
  <si>
    <t>Hours of irrigation labor</t>
  </si>
  <si>
    <t>Beehive</t>
  </si>
  <si>
    <t>Cost per bee hive</t>
  </si>
  <si>
    <t>Number of bee hives per acre</t>
  </si>
  <si>
    <t>Wind machine</t>
  </si>
  <si>
    <t>Wind Machine (cost of units per acre) installed in Year 3</t>
  </si>
  <si>
    <t>Price per unit = $40,000; 1 unit per 10 acres; In contrast to 2019 apple budget, wind machine is installed in Year 1 in 2024 budget.</t>
  </si>
  <si>
    <t>Hours of wind machine installation</t>
  </si>
  <si>
    <t>Hours of frost protection (labor)</t>
  </si>
  <si>
    <t>Depends heavily on the weather/season/location/could be anywhere from 0.4 to 25 hours. Use the lowest number in the range. Also, in contrast to 2019 budget, there is frost protection in Year 1 and Year 2 in 2024 budget to protect young trees.</t>
  </si>
  <si>
    <t>Maintenance &amp; Repairs</t>
  </si>
  <si>
    <t>Mainline, pump &amp; pond</t>
  </si>
  <si>
    <t>Maintenance and repair start in Year 4</t>
  </si>
  <si>
    <t>Irrigation system</t>
  </si>
  <si>
    <t>Trellis system</t>
  </si>
  <si>
    <t>Wind machine &amp; alarm system</t>
  </si>
  <si>
    <t>Machinery repair (lump sum)</t>
  </si>
  <si>
    <t>Fuel and lube (lump sum including propane for wind machine)</t>
  </si>
  <si>
    <t>Harvest per bin</t>
  </si>
  <si>
    <t>Cost of picking labor, manual, per bin</t>
  </si>
  <si>
    <t xml:space="preserve">Base = $35/bin plus paid rest and overtime. </t>
  </si>
  <si>
    <t>Cost of checking, tractor drivers and supervisors, manual, per bin</t>
  </si>
  <si>
    <t>Cost of hauling, per bin</t>
  </si>
  <si>
    <t xml:space="preserve">Average rate from transporting fruit from the orchard to the warehouse. </t>
  </si>
  <si>
    <t>Packing Cost</t>
  </si>
  <si>
    <t>Pack-out percentage</t>
  </si>
  <si>
    <t>Number of pounds per bin</t>
  </si>
  <si>
    <t>Packout number of boxes per bin</t>
  </si>
  <si>
    <t>Receiving charge per bin</t>
  </si>
  <si>
    <t>Charges per box</t>
  </si>
  <si>
    <t>Includes per box royalty</t>
  </si>
  <si>
    <t>Total packing charges per bin</t>
  </si>
  <si>
    <t>Total packing charges per bin is the sum of receiving charges (or "in charge") per bin and total box charges per bin.</t>
  </si>
  <si>
    <t>Other</t>
  </si>
  <si>
    <t>Miscellaneous labor (lump sum) - General labor</t>
  </si>
  <si>
    <t xml:space="preserve">All other labor. Excludes pruning, training, thinning, chemical &amp; fertilizer application, planting, irrigation labor, harvest. </t>
  </si>
  <si>
    <t>Miscellaneous supplies (lump sum)</t>
  </si>
  <si>
    <t>Insurance (crop and all farm)</t>
  </si>
  <si>
    <t>Management Overhead</t>
  </si>
  <si>
    <t xml:space="preserve">Overhead </t>
  </si>
  <si>
    <t>Interest rate</t>
  </si>
  <si>
    <t>Establishment interest rate</t>
  </si>
  <si>
    <t>No. of years to borrow operating capital</t>
  </si>
  <si>
    <t>Total acres in block</t>
  </si>
  <si>
    <t>Total productive acres</t>
  </si>
  <si>
    <t>Tree density per acre</t>
  </si>
  <si>
    <t>Total orchard acres</t>
  </si>
  <si>
    <t>Labor rate</t>
  </si>
  <si>
    <t>Manual ($/hour)</t>
  </si>
  <si>
    <t>Base = $19.25/hour, plus H2A fixed cost = $4.50/hour</t>
  </si>
  <si>
    <t>Fertilizer application, frost protection labor</t>
  </si>
  <si>
    <t>Additional $1/hour to base rate of manual labor, plus H2A fixed cost</t>
  </si>
  <si>
    <t>Chemical application, irrigation labor</t>
  </si>
  <si>
    <t>Additional $1/hour to base rate of manual labor, plus H2A fixed cost, plus overtime (15% of $20.25/hour).</t>
  </si>
  <si>
    <t>Shaded area denotes positive net returns based on the combination of net yield and price.</t>
  </si>
  <si>
    <r>
      <t xml:space="preserve">Values in </t>
    </r>
    <r>
      <rPr>
        <sz val="10"/>
        <color theme="9" tint="-0.249977111117893"/>
        <rFont val="Times New Roman"/>
        <family val="1"/>
      </rPr>
      <t>orange</t>
    </r>
    <r>
      <rPr>
        <sz val="10"/>
        <rFont val="Times New Roman"/>
        <family val="1"/>
      </rPr>
      <t xml:space="preserve"> can be modified. Values in black are calculations.</t>
    </r>
  </si>
  <si>
    <t>Number of 40-lb boxes per bin =</t>
  </si>
  <si>
    <t>F. Interest costs include some actual cash interest payments.</t>
  </si>
  <si>
    <r>
      <t>B. If the return is below this level, Cosmic Crisp</t>
    </r>
    <r>
      <rPr>
        <vertAlign val="superscript"/>
        <sz val="10"/>
        <color rgb="FF000000"/>
        <rFont val="Times New Roman"/>
        <family val="1"/>
      </rPr>
      <t>®</t>
    </r>
    <r>
      <rPr>
        <sz val="10"/>
        <color indexed="8"/>
        <rFont val="Times New Roman"/>
        <family val="1"/>
      </rPr>
      <t xml:space="preserve"> apples are uneconomical to produce. </t>
    </r>
  </si>
  <si>
    <t>Bin size is 925 lb.</t>
  </si>
  <si>
    <t>B</t>
  </si>
  <si>
    <r>
      <t>The information in this publication serves as a general guide for a modern and well-managed Cosmic Crisp</t>
    </r>
    <r>
      <rPr>
        <vertAlign val="superscript"/>
        <sz val="11"/>
        <rFont val="Times New Roman"/>
        <family val="1"/>
      </rPr>
      <t>®</t>
    </r>
    <r>
      <rPr>
        <sz val="11"/>
        <rFont val="Times New Roman"/>
        <family val="1"/>
      </rPr>
      <t xml:space="preserve"> orchard as of 2024. To avoid unwarranted conclusions for any particular operation, closely examine the assumptions used. If they are not appropriate for your situation, adjust the costs and/or returns as appropriate.</t>
    </r>
  </si>
  <si>
    <t>This budget is based on a 11-acre Cosmic Crisp® block within a 300-acre orchard. It is assumed that 1 acre of this block is dedicated to roads, pond, loading area, buildings, etc., rather than to fruit production. Therefore, the total productive area for this block is 10 acres.</t>
  </si>
  <si>
    <t>3 feet</t>
  </si>
  <si>
    <t>Vertical spindle (height 11.5 feet, 7 wires, metal post every 30 ft)</t>
  </si>
  <si>
    <t>1,452 trees per acre</t>
  </si>
  <si>
    <t xml:space="preserve">Management salary is valued at $750 per acre. </t>
  </si>
  <si>
    <r>
      <t>A. Break-even return is calculated as</t>
    </r>
    <r>
      <rPr>
        <b/>
        <sz val="10"/>
        <color rgb="FF000000"/>
        <rFont val="Times New Roman"/>
        <family val="1"/>
      </rPr>
      <t xml:space="preserve"> cost divided by net yield</t>
    </r>
    <r>
      <rPr>
        <sz val="10"/>
        <color indexed="8"/>
        <rFont val="Times New Roman"/>
        <family val="1"/>
      </rPr>
      <t xml:space="preserve"> during full production. The break-even return per 40-lb box is calculated as the per bin value divided by 18.5. All variables in this equation are held constant, except for the “Cost,” which takes the Total Variable Costs, Total Cash Costs, Total Cash Costs + Depreciation Costs, or Total Costs, depending on the level of enterprise cost that the break-even return is being calculated.</t>
    </r>
  </si>
  <si>
    <t>C. If there are other cash costs on an individual's orchard, these costs must be identified and included in the cash cost break-even return calculation.</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</si>
  <si>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</si>
  <si>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</si>
  <si>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</si>
  <si>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Estimated Net Production (bins/acre)</t>
    </r>
    <r>
      <rPr>
        <vertAlign val="superscript"/>
        <sz val="11"/>
        <rFont val="Times New Roman"/>
        <family val="1"/>
      </rPr>
      <t>A</t>
    </r>
  </si>
  <si>
    <r>
      <t>Pruning &amp; Training</t>
    </r>
    <r>
      <rPr>
        <vertAlign val="superscript"/>
        <sz val="11"/>
        <rFont val="Times New Roman"/>
        <family val="1"/>
      </rPr>
      <t>C</t>
    </r>
  </si>
  <si>
    <r>
      <t>Thinning</t>
    </r>
    <r>
      <rPr>
        <vertAlign val="superscript"/>
        <sz val="11"/>
        <rFont val="Times New Roman"/>
        <family val="1"/>
      </rPr>
      <t>D</t>
    </r>
  </si>
  <si>
    <r>
      <t>Chemicals</t>
    </r>
    <r>
      <rPr>
        <vertAlign val="superscript"/>
        <sz val="11"/>
        <rFont val="Times New Roman"/>
        <family val="1"/>
      </rPr>
      <t>E,F</t>
    </r>
  </si>
  <si>
    <r>
      <t>Fertilizer</t>
    </r>
    <r>
      <rPr>
        <vertAlign val="superscript"/>
        <sz val="11"/>
        <rFont val="Times New Roman"/>
        <family val="1"/>
      </rPr>
      <t>E,F</t>
    </r>
  </si>
  <si>
    <r>
      <t>Sunburn Protection</t>
    </r>
    <r>
      <rPr>
        <vertAlign val="superscript"/>
        <sz val="11"/>
        <rFont val="Times New Roman"/>
        <family val="1"/>
      </rPr>
      <t>G</t>
    </r>
  </si>
  <si>
    <r>
      <t>Frost Protection (labor)</t>
    </r>
    <r>
      <rPr>
        <vertAlign val="superscript"/>
        <sz val="11"/>
        <rFont val="Times New Roman"/>
        <family val="1"/>
      </rPr>
      <t>F</t>
    </r>
  </si>
  <si>
    <r>
      <t>General Farm Labor</t>
    </r>
    <r>
      <rPr>
        <vertAlign val="superscript"/>
        <sz val="11"/>
        <rFont val="Times New Roman"/>
        <family val="1"/>
      </rPr>
      <t>H</t>
    </r>
  </si>
  <si>
    <r>
      <t>Warehouse Packing Charges</t>
    </r>
    <r>
      <rPr>
        <vertAlign val="superscript"/>
        <sz val="11"/>
        <color indexed="8"/>
        <rFont val="Times New Roman"/>
        <family val="1"/>
      </rPr>
      <t>J</t>
    </r>
  </si>
  <si>
    <r>
      <t>Overhead (5% of Variable Costs)</t>
    </r>
    <r>
      <rPr>
        <vertAlign val="superscript"/>
        <sz val="11"/>
        <rFont val="Times New Roman"/>
        <family val="1"/>
      </rPr>
      <t>K</t>
    </r>
  </si>
  <si>
    <r>
      <t>Interest (5% of Variable Costs)</t>
    </r>
    <r>
      <rPr>
        <vertAlign val="superscript"/>
        <sz val="11"/>
        <rFont val="Times New Roman"/>
        <family val="1"/>
      </rPr>
      <t>L</t>
    </r>
  </si>
  <si>
    <r>
      <t>Land</t>
    </r>
    <r>
      <rPr>
        <vertAlign val="superscript"/>
        <sz val="11"/>
        <rFont val="Times New Roman"/>
        <family val="1"/>
      </rPr>
      <t>M</t>
    </r>
  </si>
  <si>
    <r>
      <t>Amortized Establishment Costs</t>
    </r>
    <r>
      <rPr>
        <vertAlign val="superscript"/>
        <sz val="11"/>
        <rFont val="Times New Roman"/>
        <family val="1"/>
      </rPr>
      <t>N</t>
    </r>
  </si>
  <si>
    <t>A. Estimated net production considers an average pack-out of 80% or 18.5 boxes/bin.</t>
  </si>
  <si>
    <t>B. These are packinghouse door prices. They reflect the return before any expenses are subtracted. Bin size is 925 lb. Both the per-bin price and per-40-lb box price are provided for convenience, but the per-bin price is used to calculate the Total Returns.</t>
  </si>
  <si>
    <t>C. Hand labor rate is $23.75/hour and includes all applicable taxes and benefits.</t>
  </si>
  <si>
    <r>
      <t>D. There is neither hand thinning nor chemical thinning for Cosmic Crisp</t>
    </r>
    <r>
      <rPr>
        <vertAlign val="superscript"/>
        <sz val="10"/>
        <rFont val="Times New Roman"/>
        <family val="1"/>
      </rPr>
      <t>®</t>
    </r>
    <r>
      <rPr>
        <sz val="10"/>
        <rFont val="Times New Roman"/>
        <family val="1"/>
      </rPr>
      <t>.</t>
    </r>
  </si>
  <si>
    <t>E. Includes materials and labor.</t>
  </si>
  <si>
    <t xml:space="preserve">F. Tractor/machinery labor for chemical application and irrigation is $27.79 per hour. Labor for fertilizer application and frost protection is $24.75/hour and includes all applicable taxes and benefits. </t>
  </si>
  <si>
    <t>G. Labor cost to deploy and pull back.</t>
  </si>
  <si>
    <t>H. General farm labor rate is a lump sum per acre and applied to miscellaneous/all other labor. Rate includes applicable taxes and benefits.</t>
  </si>
  <si>
    <t>I. Picking rate = $43/bin; Checkers &amp; tractor drivers' rate = $11/bin; Hauling rate = $11/bin (hauling refers to transportation cost from the orchard to the warehouse. It is assumed that warehouse will cover additional transportation expenses (if any) when the orchard is located in remote areas.</t>
  </si>
  <si>
    <t>J. Packing charges include receiving charges per bin plus total box charges per bin. Pack-out number of boxes per bin is 18.5.</t>
  </si>
  <si>
    <t>K. Captures indirect costs of operations in the orchard that fluctuate with the level of production but are not accounted by the variable costs already identified. Also captures unforeseeable expenses.</t>
  </si>
  <si>
    <t>L. Interest expense on full year during establishment years and for 3/4 of a year during full production.</t>
  </si>
  <si>
    <t>M. Land cost is approximated by using the 5% interest rate multiplied by the land value of $20,000 per acre.</t>
  </si>
  <si>
    <t>N. Represents the costs incurred during the establishment years (minus revenues during those years) that must be recaptured during the full production years. It is calculated as: accumulated establishment costs in Year 5 amortized at 5% for 15 years.</t>
  </si>
  <si>
    <r>
      <t>2024 Cost and Return Estimates of Establishing, Producing and Packing Cosmic Crisp</t>
    </r>
    <r>
      <rPr>
        <b/>
        <vertAlign val="superscript"/>
        <sz val="14"/>
        <color theme="1"/>
        <rFont val="Times New Roman"/>
        <family val="1"/>
      </rPr>
      <t xml:space="preserve">® </t>
    </r>
    <r>
      <rPr>
        <b/>
        <sz val="14"/>
        <color theme="1"/>
        <rFont val="Times New Roman"/>
        <family val="1"/>
      </rPr>
      <t>Apples on Vertical Spindle Trellis System in Washington</t>
    </r>
  </si>
  <si>
    <r>
      <t>Estimated FOB Price</t>
    </r>
    <r>
      <rPr>
        <vertAlign val="superscript"/>
        <sz val="11"/>
        <rFont val="Times New Roman"/>
        <family val="1"/>
      </rPr>
      <t>B</t>
    </r>
    <r>
      <rPr>
        <sz val="11"/>
        <rFont val="Times New Roman"/>
        <family val="1"/>
      </rPr>
      <t xml:space="preserve"> in $/bin</t>
    </r>
  </si>
  <si>
    <r>
      <t>Estimated FOB Price</t>
    </r>
    <r>
      <rPr>
        <vertAlign val="superscript"/>
        <sz val="11"/>
        <rFont val="Times New Roman"/>
        <family val="1"/>
      </rPr>
      <t>B</t>
    </r>
    <r>
      <rPr>
        <sz val="11"/>
        <rFont val="Times New Roman"/>
        <family val="1"/>
      </rPr>
      <t xml:space="preserve"> in $/40-lb box</t>
    </r>
  </si>
  <si>
    <t>Years 6 to 20 (Full Production, Annual Average)</t>
  </si>
  <si>
    <t>The main data source for the calculations is Appendix 5 (Data for tables). Changing the orange-colored values in Appendix Table 9, as well as in other worksheets (Mach Etc Req., Int&amp;Dep, Salv Value &amp; Dep Calc, and Amort Calc) will automatically change the values in the remaining worksheets, including the summary table, "Cosmic Crisp-Spindle Budget".</t>
  </si>
  <si>
    <t>Block Specification</t>
  </si>
  <si>
    <t>Return or Cost</t>
  </si>
  <si>
    <t>Description or Activity</t>
  </si>
  <si>
    <t>Yield</t>
  </si>
  <si>
    <t>Price</t>
  </si>
  <si>
    <t xml:space="preserve">Return  </t>
  </si>
  <si>
    <t>Variable cost</t>
  </si>
  <si>
    <t xml:space="preserve">Sum of all variable costs  </t>
  </si>
  <si>
    <t>Return</t>
  </si>
  <si>
    <t>Returns over Variable Costs</t>
  </si>
  <si>
    <t>Fixed cash cost</t>
  </si>
  <si>
    <t>Sum of fixed cash costs</t>
  </si>
  <si>
    <t>Sum of all variable costs and fixed cash costs</t>
  </si>
  <si>
    <r>
      <t>Sunburn Protection</t>
    </r>
    <r>
      <rPr>
        <sz val="11"/>
        <rFont val="Calibri"/>
        <family val="2"/>
      </rPr>
      <t>—</t>
    </r>
    <r>
      <rPr>
        <sz val="11"/>
        <rFont val="Times New Roman"/>
        <family val="1"/>
      </rPr>
      <t>Netting</t>
    </r>
  </si>
  <si>
    <t>Other fixed cost</t>
  </si>
  <si>
    <t>Sum of depreciation, interest and other fixed costs</t>
  </si>
  <si>
    <t>Sum of fixed cash and non-cash costs</t>
  </si>
  <si>
    <t>Sum of all costs</t>
  </si>
  <si>
    <t>TOTAL PRODUCTION COSTS</t>
  </si>
  <si>
    <t>Total returns minus total production costs</t>
  </si>
  <si>
    <t>Establishment cost</t>
  </si>
  <si>
    <r>
      <t>Table 2.2. Cost and returns per acre of establishing, producing and packing Cosmic Crisp</t>
    </r>
    <r>
      <rPr>
        <b/>
        <vertAlign val="superscript"/>
        <sz val="14"/>
        <rFont val="Times New Roman"/>
        <family val="1"/>
      </rPr>
      <t>®</t>
    </r>
    <r>
      <rPr>
        <b/>
        <sz val="14"/>
        <rFont val="Times New Roman"/>
        <family val="1"/>
      </rPr>
      <t xml:space="preserve"> on vertical spindle trellis system in a 10-acre orchard block.</t>
    </r>
  </si>
  <si>
    <t>There are 18.5 40-lb boxes per bin. The equivalent free on board (FOB) price per 40-lb box from left to right are: 28, 35, and 43, respectively.</t>
  </si>
  <si>
    <t>FOB price, $/bin 1</t>
  </si>
  <si>
    <t>FOB price, $/bin 2</t>
  </si>
  <si>
    <t>FOB price, $/bin 3</t>
  </si>
  <si>
    <r>
      <t>From left to right, the assumed FOB prices are the minimum, average, and maximum annual FOB prices of Cosmic Crisp</t>
    </r>
    <r>
      <rPr>
        <vertAlign val="superscript"/>
        <sz val="10"/>
        <rFont val="Times New Roman"/>
        <family val="1"/>
      </rPr>
      <t>®</t>
    </r>
    <r>
      <rPr>
        <sz val="10"/>
        <rFont val="Times New Roman"/>
        <family val="1"/>
      </rPr>
      <t xml:space="preserve"> between 2019 and 2024. (Source: WSTFA) Both prices in terms of bin ans 40-lb box are provided for convenience, but the price per bin is used to calculate the net returns.</t>
    </r>
  </si>
  <si>
    <t>Net returns at $518/bin</t>
  </si>
  <si>
    <t>Net returns at $647.5/bin</t>
  </si>
  <si>
    <t>Net returns at $795.5/bin</t>
  </si>
  <si>
    <t>1. Total Variable Costs</t>
  </si>
  <si>
    <r>
      <t>2. Total Cash Costs</t>
    </r>
    <r>
      <rPr>
        <vertAlign val="superscript"/>
        <sz val="11"/>
        <rFont val="Times New Roman"/>
        <family val="1"/>
      </rPr>
      <t>C</t>
    </r>
  </si>
  <si>
    <t>3. Total Cash Costs + Depreciation Costs</t>
  </si>
  <si>
    <r>
      <t>4. Total Cost</t>
    </r>
    <r>
      <rPr>
        <vertAlign val="superscript"/>
        <sz val="11"/>
        <rFont val="Times New Roman"/>
        <family val="1"/>
      </rPr>
      <t>F</t>
    </r>
  </si>
  <si>
    <t>Levels of Enterprise Costs</t>
  </si>
  <si>
    <r>
      <t>Break-even Return</t>
    </r>
    <r>
      <rPr>
        <b/>
        <vertAlign val="superscript"/>
        <sz val="11"/>
        <rFont val="Times New Roman"/>
        <family val="1"/>
      </rPr>
      <t>A</t>
    </r>
    <r>
      <rPr>
        <b/>
        <sz val="11"/>
        <rFont val="Times New Roman"/>
        <family val="1"/>
      </rPr>
      <t xml:space="preserve"> ($ per bin)</t>
    </r>
  </si>
  <si>
    <r>
      <t>Break-even Return</t>
    </r>
    <r>
      <rPr>
        <b/>
        <vertAlign val="superscript"/>
        <sz val="11"/>
        <rFont val="Times New Roman"/>
        <family val="1"/>
      </rPr>
      <t>A</t>
    </r>
    <r>
      <rPr>
        <b/>
        <sz val="11"/>
        <rFont val="Times New Roman"/>
        <family val="1"/>
      </rPr>
      <t xml:space="preserve"> ($ per 40-lb box)</t>
    </r>
  </si>
  <si>
    <r>
      <t>Appendix Table 1. Summary of annual capital requirements for a 10-acre Cosmic Crisp</t>
    </r>
    <r>
      <rPr>
        <b/>
        <vertAlign val="superscript"/>
        <sz val="14"/>
        <rFont val="Times New Roman"/>
        <family val="1"/>
      </rPr>
      <t xml:space="preserve">® </t>
    </r>
    <r>
      <rPr>
        <b/>
        <sz val="14"/>
        <rFont val="Times New Roman"/>
        <family val="1"/>
      </rPr>
      <t>block on vertical spindle trellis system.</t>
    </r>
  </si>
  <si>
    <t>Requirements and Receipts</t>
  </si>
  <si>
    <t>Appendix Table 2. Machinery, equipment, and building requirements for a 300-acre diverse cultivar orchard.</t>
  </si>
  <si>
    <t>Requirements</t>
  </si>
  <si>
    <r>
      <t>Appendix Table 3. Annual interest costs per acre for a 10-acre Cosmic Crisp</t>
    </r>
    <r>
      <rPr>
        <b/>
        <vertAlign val="superscript"/>
        <sz val="14"/>
        <rFont val="Times New Roman"/>
        <family val="1"/>
      </rPr>
      <t>®</t>
    </r>
    <r>
      <rPr>
        <b/>
        <sz val="14"/>
        <rFont val="Times New Roman"/>
        <family val="1"/>
      </rPr>
      <t xml:space="preserve"> block on vertical spindle trellis system</t>
    </r>
  </si>
  <si>
    <t xml:space="preserve">Capital Requirements </t>
  </si>
  <si>
    <t>E. See Appendix Table 7 for a detailed calculation of the salvage value of the machinery, equipment and building.</t>
  </si>
  <si>
    <t xml:space="preserve">B. See Appendix Table 3 for calculation of the depreciation cost of the machinery, equipment and building. </t>
  </si>
  <si>
    <r>
      <t>Appendix Table 4. Annual depreciation costs per acre for a 10-acre Cosmic Crisp</t>
    </r>
    <r>
      <rPr>
        <b/>
        <vertAlign val="superscript"/>
        <sz val="14"/>
        <rFont val="Times New Roman"/>
        <family val="1"/>
      </rPr>
      <t>®</t>
    </r>
    <r>
      <rPr>
        <b/>
        <sz val="14"/>
        <rFont val="Times New Roman"/>
        <family val="1"/>
      </rPr>
      <t xml:space="preserve"> block on vertical spindle trellis system.</t>
    </r>
  </si>
  <si>
    <t>-</t>
  </si>
  <si>
    <r>
      <t>Appendix 5. Data on costs during establishment years for a 10-acre Cosmic Crisp</t>
    </r>
    <r>
      <rPr>
        <b/>
        <vertAlign val="superscript"/>
        <sz val="14"/>
        <rFont val="Times New Roman"/>
        <family val="1"/>
      </rPr>
      <t>®</t>
    </r>
    <r>
      <rPr>
        <b/>
        <sz val="14"/>
        <rFont val="Times New Roman"/>
        <family val="1"/>
      </rPr>
      <t xml:space="preserve"> block on vertical spindle trellis system.</t>
    </r>
  </si>
  <si>
    <t xml:space="preserve">Year  </t>
  </si>
  <si>
    <r>
      <t>Land includes water rights</t>
    </r>
    <r>
      <rPr>
        <vertAlign val="superscript"/>
        <sz val="11"/>
        <rFont val="Times New Roman"/>
        <family val="1"/>
      </rPr>
      <t>A</t>
    </r>
  </si>
  <si>
    <t>Soil Preparation: soil sample (custom)</t>
  </si>
  <si>
    <t>Soil Preparation: fumigation (custom)</t>
  </si>
  <si>
    <t>Soil Preparation: rip and disk ground (custom)</t>
  </si>
  <si>
    <t>Soil Preparation: fertilizer (materials, tractor and labor)</t>
  </si>
  <si>
    <t>Trees: full sized trees (5/8" or better)</t>
  </si>
  <si>
    <t>Trees: planting per tree (labor and tractor)</t>
  </si>
  <si>
    <t>Irrigation: laterals, sprinklers, sub-lines</t>
  </si>
  <si>
    <t>Irrigation: installation labor</t>
  </si>
  <si>
    <r>
      <t>Fertilizer</t>
    </r>
    <r>
      <rPr>
        <vertAlign val="superscript"/>
        <sz val="11"/>
        <rFont val="Times New Roman"/>
        <family val="1"/>
      </rPr>
      <t>F</t>
    </r>
    <r>
      <rPr>
        <sz val="11"/>
        <rFont val="Times New Roman"/>
        <family val="1"/>
      </rPr>
      <t>, materials</t>
    </r>
  </si>
  <si>
    <r>
      <t>Fertilizer, labor</t>
    </r>
    <r>
      <rPr>
        <vertAlign val="superscript"/>
        <sz val="11"/>
        <rFont val="Times New Roman"/>
        <family val="1"/>
      </rPr>
      <t>G,H</t>
    </r>
  </si>
  <si>
    <t>Harvest Costs (per bin): picking (multiple picks)</t>
  </si>
  <si>
    <t>Harvest Costs (per bin): checkers, tractor drivers and supervisors</t>
  </si>
  <si>
    <t>Harvest Costs (per bin): hauling</t>
  </si>
  <si>
    <t>Sunburn Protection—Netting, materials</t>
  </si>
  <si>
    <t>Sunburn Protection—Netting (deploy and pull back), labor</t>
  </si>
  <si>
    <r>
      <t>Appendix Table 6. Data on costs during a full production year for a 10-acre Cosmic Crisp</t>
    </r>
    <r>
      <rPr>
        <b/>
        <vertAlign val="superscript"/>
        <sz val="14"/>
        <rFont val="Times New Roman"/>
        <family val="1"/>
      </rPr>
      <t>®</t>
    </r>
    <r>
      <rPr>
        <b/>
        <sz val="14"/>
        <rFont val="Times New Roman"/>
        <family val="1"/>
      </rPr>
      <t xml:space="preserve"> block on vertical spindle trellis system.</t>
    </r>
  </si>
  <si>
    <t>Sunburn Protection—Netting (deploy and pull back)</t>
  </si>
  <si>
    <r>
      <t>Fertilizer</t>
    </r>
    <r>
      <rPr>
        <vertAlign val="superscript"/>
        <sz val="11"/>
        <rFont val="Times New Roman"/>
        <family val="1"/>
      </rPr>
      <t>D</t>
    </r>
    <r>
      <rPr>
        <sz val="11"/>
        <rFont val="Times New Roman"/>
        <family val="1"/>
      </rPr>
      <t>, materials</t>
    </r>
  </si>
  <si>
    <r>
      <t>Fertilizer, labor</t>
    </r>
    <r>
      <rPr>
        <vertAlign val="superscript"/>
        <sz val="11"/>
        <rFont val="Times New Roman"/>
        <family val="1"/>
      </rPr>
      <t>E</t>
    </r>
  </si>
  <si>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</si>
  <si>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</si>
  <si>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</si>
  <si>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</si>
  <si>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Appendix Table 8. Amortization calculator.</t>
  </si>
  <si>
    <t>Variable</t>
  </si>
  <si>
    <t>Value</t>
  </si>
  <si>
    <r>
      <t>Appendix Table 9. Assumptions for establishing, producing, and packing Cosmic Crisp</t>
    </r>
    <r>
      <rPr>
        <b/>
        <vertAlign val="superscript"/>
        <sz val="14"/>
        <rFont val="Times New Roman"/>
        <family val="1"/>
      </rPr>
      <t>®</t>
    </r>
    <r>
      <rPr>
        <b/>
        <sz val="14"/>
        <rFont val="Times New Roman"/>
        <family val="1"/>
      </rPr>
      <t xml:space="preserve"> apples on vertical spindle trellis system (per acre basis).</t>
    </r>
  </si>
  <si>
    <t>Variables</t>
  </si>
  <si>
    <r>
      <t>Table 1.2. Cosmic Crisp</t>
    </r>
    <r>
      <rPr>
        <b/>
        <vertAlign val="superscript"/>
        <sz val="14"/>
        <rFont val="Times New Roman"/>
        <family val="1"/>
      </rPr>
      <t>®</t>
    </r>
    <r>
      <rPr>
        <b/>
        <sz val="14"/>
        <rFont val="Times New Roman"/>
        <family val="1"/>
      </rPr>
      <t xml:space="preserve"> block specifications.</t>
    </r>
  </si>
  <si>
    <r>
      <t>Table 3.2. Estimated net returns</t>
    </r>
    <r>
      <rPr>
        <b/>
        <vertAlign val="superscript"/>
        <sz val="14"/>
        <rFont val="Times New Roman"/>
        <family val="1"/>
      </rPr>
      <t>A</t>
    </r>
    <r>
      <rPr>
        <b/>
        <sz val="14"/>
        <rFont val="Times New Roman"/>
        <family val="1"/>
      </rPr>
      <t xml:space="preserve"> per acre at various prices and yields of Cosmic Crisp</t>
    </r>
    <r>
      <rPr>
        <b/>
        <vertAlign val="superscript"/>
        <sz val="14"/>
        <rFont val="Times New Roman"/>
        <family val="1"/>
      </rPr>
      <t>®</t>
    </r>
    <r>
      <rPr>
        <b/>
        <sz val="14"/>
        <rFont val="Times New Roman"/>
        <family val="1"/>
      </rPr>
      <t xml:space="preserve"> during full production on vertical spindle trellis system.</t>
    </r>
  </si>
  <si>
    <r>
      <t>Table 4.2.  Break-even return for different levels of enterprise costs during full production of Cosmic Crisp</t>
    </r>
    <r>
      <rPr>
        <b/>
        <vertAlign val="superscript"/>
        <sz val="14"/>
        <color rgb="FF000000"/>
        <rFont val="Times New Roman"/>
        <family val="1"/>
      </rPr>
      <t>®</t>
    </r>
    <r>
      <rPr>
        <b/>
        <sz val="14"/>
        <color indexed="8"/>
        <rFont val="Times New Roman"/>
        <family val="1"/>
      </rPr>
      <t xml:space="preserve"> apples on vertical spindle trellis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</si>
</sst>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0.0"/>
    <numFmt numFmtId="169" formatCode="&quot;$&quot;#,##0.0"/>
    <numFmt numFmtId="170" formatCode="#,##0;[Red]\ \ \-\ #,##0\ ;&quot;-&quot;"/>
    <numFmt numFmtId="171" formatCode="#,##0.00;[Red]\ \ \-\ #,##0.00\ ;&quot;-&quot;"/>
  </numFmts>
  <fonts count="49"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i/>
      <sz val="10"/>
      <color theme="9" tint="-0.249977111117893"/>
      <name val="Times New Roman"/>
      <family val="1"/>
    </font>
    <font>
      <b/>
      <sz val="14"/>
      <color theme="1"/>
      <name val="Times New Roman"/>
      <family val="1"/>
    </font>
    <font>
      <b/>
      <sz val="11"/>
      <color theme="9" tint="-0.249977111117893"/>
      <name val="Times New Roman"/>
      <family val="1"/>
    </font>
    <font>
      <sz val="10"/>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b/>
      <vertAlign val="superscript"/>
      <sz val="14"/>
      <name val="Times New Roman"/>
      <family val="1"/>
    </font>
    <font>
      <b/>
      <vertAlign val="superscript"/>
      <sz val="11"/>
      <color theme="1"/>
      <name val="Times New Roman"/>
      <family val="1"/>
    </font>
    <font>
      <u/>
      <sz val="10"/>
      <color indexed="8"/>
      <name val="Times New Roman"/>
      <family val="1"/>
    </font>
    <font>
      <b/>
      <vertAlign val="superscript"/>
      <sz val="14"/>
      <color theme="1"/>
      <name val="Times New Roman"/>
      <family val="1"/>
    </font>
    <font>
      <b/>
      <vertAlign val="superscript"/>
      <sz val="14"/>
      <color rgb="FF000000"/>
      <name val="Times New Roman"/>
      <family val="1"/>
    </font>
    <font>
      <vertAlign val="superscript"/>
      <sz val="10"/>
      <color rgb="FF000000"/>
      <name val="Times New Roman"/>
      <family val="1"/>
    </font>
    <font>
      <b/>
      <sz val="10"/>
      <color rgb="FF000000"/>
      <name val="Times New Roman"/>
      <family val="1"/>
    </font>
    <font>
      <b/>
      <sz val="11"/>
      <color rgb="FFC00000"/>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style="thin">
        <color auto="1"/>
      </top>
      <bottom/>
      <diagonal/>
    </border>
    <border>
      <left/>
      <right/>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auto="1"/>
      </left>
      <right/>
      <top/>
      <bottom/>
      <diagonal/>
    </border>
    <border>
      <left/>
      <right/>
      <top style="thin">
        <color auto="1"/>
      </top>
      <bottom style="thin">
        <color indexed="64"/>
      </bottom>
      <diagonal/>
    </border>
    <border>
      <left/>
      <right style="thin">
        <color auto="1"/>
      </right>
      <top/>
      <bottom/>
      <diagonal/>
    </border>
  </borders>
  <cellStyleXfs count="16">
    <xf numFmtId="0" fontId="0" fillId="0" borderId="0"/>
    <xf numFmtId="44"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15">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6" fillId="2" borderId="0" xfId="0" applyFont="1" applyFill="1"/>
    <xf numFmtId="0" fontId="4" fillId="2" borderId="0" xfId="0" applyFont="1" applyFill="1"/>
    <xf numFmtId="0" fontId="13" fillId="3" borderId="0" xfId="0" applyFont="1" applyFill="1"/>
    <xf numFmtId="0" fontId="7" fillId="3" borderId="0" xfId="0" applyFont="1" applyFill="1"/>
    <xf numFmtId="0" fontId="14" fillId="3" borderId="0" xfId="0" applyFont="1" applyFill="1"/>
    <xf numFmtId="4" fontId="7" fillId="3" borderId="0" xfId="0" applyNumberFormat="1" applyFont="1" applyFill="1" applyAlignment="1">
      <alignment horizontal="right" vertical="center" indent="2"/>
    </xf>
    <xf numFmtId="0" fontId="11" fillId="3" borderId="0" xfId="0" applyFont="1" applyFill="1"/>
    <xf numFmtId="4" fontId="7" fillId="3" borderId="0" xfId="0" applyNumberFormat="1" applyFont="1" applyFill="1" applyAlignment="1" applyProtection="1">
      <alignment horizontal="right" vertical="center" indent="2"/>
      <protection locked="0"/>
    </xf>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4" fontId="15" fillId="3" borderId="0" xfId="0" applyNumberFormat="1" applyFont="1" applyFill="1" applyAlignment="1">
      <alignment horizontal="right" vertical="center" indent="2"/>
    </xf>
    <xf numFmtId="3" fontId="15" fillId="3" borderId="0" xfId="0" applyNumberFormat="1" applyFont="1" applyFill="1" applyAlignment="1">
      <alignment horizontal="right" vertical="center" indent="4"/>
    </xf>
    <xf numFmtId="3" fontId="7" fillId="3" borderId="0" xfId="0" applyNumberFormat="1" applyFont="1" applyFill="1" applyAlignment="1">
      <alignment horizontal="center" vertical="center"/>
    </xf>
    <xf numFmtId="3" fontId="7" fillId="3" borderId="0" xfId="0" applyNumberFormat="1" applyFont="1" applyFill="1" applyAlignment="1" applyProtection="1">
      <alignment horizontal="center" vertical="center"/>
      <protection locked="0"/>
    </xf>
    <xf numFmtId="167" fontId="7" fillId="2" borderId="0" xfId="0" applyNumberFormat="1" applyFont="1" applyFill="1" applyAlignment="1">
      <alignment horizontal="right" indent="1"/>
    </xf>
    <xf numFmtId="0" fontId="7" fillId="2" borderId="0" xfId="0" applyFont="1" applyFill="1" applyAlignment="1">
      <alignment horizontal="left"/>
    </xf>
    <xf numFmtId="3" fontId="7" fillId="2" borderId="2" xfId="0" applyNumberFormat="1" applyFont="1" applyFill="1" applyBorder="1" applyAlignment="1">
      <alignment horizontal="right" vertical="center" indent="3"/>
    </xf>
    <xf numFmtId="3" fontId="24" fillId="2" borderId="0" xfId="0" applyNumberFormat="1" applyFont="1" applyFill="1" applyAlignment="1" applyProtection="1">
      <alignment horizontal="right" vertical="center" indent="3"/>
      <protection locked="0"/>
    </xf>
    <xf numFmtId="3" fontId="24" fillId="2" borderId="0" xfId="0" applyNumberFormat="1" applyFont="1" applyFill="1" applyAlignment="1" applyProtection="1">
      <alignment horizontal="center" vertical="center"/>
      <protection locked="0"/>
    </xf>
    <xf numFmtId="4" fontId="24" fillId="2" borderId="0" xfId="0" applyNumberFormat="1" applyFont="1" applyFill="1" applyAlignment="1" applyProtection="1">
      <alignment horizontal="right" indent="1"/>
      <protection locked="0"/>
    </xf>
    <xf numFmtId="0" fontId="34" fillId="3" borderId="0" xfId="0" applyFont="1" applyFill="1"/>
    <xf numFmtId="0" fontId="36" fillId="3" borderId="1" xfId="0" applyFont="1" applyFill="1" applyBorder="1" applyAlignment="1">
      <alignment vertical="top"/>
    </xf>
    <xf numFmtId="0" fontId="8" fillId="3" borderId="0" xfId="0" applyFont="1" applyFill="1"/>
    <xf numFmtId="0" fontId="8" fillId="3" borderId="0" xfId="0" applyFont="1" applyFill="1" applyAlignment="1">
      <alignment wrapText="1"/>
    </xf>
    <xf numFmtId="0" fontId="7" fillId="3" borderId="0" xfId="0" applyFont="1" applyFill="1" applyAlignment="1">
      <alignment horizontal="center"/>
    </xf>
    <xf numFmtId="0" fontId="29" fillId="3" borderId="0" xfId="0" applyFont="1" applyFill="1" applyAlignment="1" applyProtection="1">
      <alignment horizontal="left" indent="5"/>
      <protection locked="0"/>
    </xf>
    <xf numFmtId="4" fontId="7" fillId="3" borderId="0" xfId="0" applyNumberFormat="1" applyFont="1" applyFill="1"/>
    <xf numFmtId="0" fontId="22" fillId="3" borderId="1" xfId="0" applyFont="1" applyFill="1" applyBorder="1" applyAlignment="1">
      <alignment vertical="top"/>
    </xf>
    <xf numFmtId="9" fontId="7" fillId="0" borderId="0" xfId="2" applyFont="1" applyFill="1" applyBorder="1" applyAlignment="1">
      <alignment vertical="top"/>
    </xf>
    <xf numFmtId="9" fontId="24" fillId="0" borderId="0" xfId="2" applyFont="1" applyFill="1" applyBorder="1" applyAlignment="1">
      <alignment horizontal="right" vertical="top"/>
    </xf>
    <xf numFmtId="0" fontId="24" fillId="3" borderId="0" xfId="0" applyFont="1" applyFill="1" applyAlignment="1">
      <alignment horizontal="left"/>
    </xf>
    <xf numFmtId="0" fontId="24" fillId="2" borderId="0" xfId="0" applyFont="1" applyFill="1" applyAlignment="1">
      <alignment horizontal="left"/>
    </xf>
    <xf numFmtId="3" fontId="7" fillId="3" borderId="0" xfId="0" applyNumberFormat="1" applyFont="1" applyFill="1" applyAlignment="1" applyProtection="1">
      <alignment horizontal="right" vertical="center"/>
      <protection locked="0"/>
    </xf>
    <xf numFmtId="0" fontId="24" fillId="3" borderId="1" xfId="0" applyFont="1" applyFill="1" applyBorder="1" applyAlignment="1">
      <alignment vertical="top"/>
    </xf>
    <xf numFmtId="0" fontId="24" fillId="3" borderId="0" xfId="0" applyFont="1" applyFill="1"/>
    <xf numFmtId="43" fontId="36" fillId="2" borderId="0" xfId="0" applyNumberFormat="1"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horizontal="left" vertical="top"/>
      <protection locked="0"/>
    </xf>
    <xf numFmtId="9" fontId="27" fillId="3" borderId="0" xfId="0" applyNumberFormat="1" applyFont="1" applyFill="1" applyAlignment="1">
      <alignment horizontal="left" vertical="top"/>
    </xf>
    <xf numFmtId="9" fontId="30" fillId="3" borderId="0" xfId="0" applyNumberFormat="1" applyFont="1" applyFill="1" applyAlignment="1">
      <alignment horizontal="left" vertical="top"/>
    </xf>
    <xf numFmtId="0" fontId="7" fillId="3" borderId="0" xfId="0" applyFont="1" applyFill="1" applyAlignment="1">
      <alignment horizontal="left" vertical="top"/>
    </xf>
    <xf numFmtId="4" fontId="11" fillId="3" borderId="0" xfId="0" applyNumberFormat="1" applyFont="1" applyFill="1" applyAlignment="1">
      <alignment horizontal="left" vertical="top"/>
    </xf>
    <xf numFmtId="0" fontId="11" fillId="3" borderId="0" xfId="0" applyFont="1" applyFill="1" applyAlignment="1">
      <alignment horizontal="left" vertical="top"/>
    </xf>
    <xf numFmtId="0" fontId="7" fillId="2" borderId="0" xfId="0" applyFont="1" applyFill="1" applyAlignment="1">
      <alignment vertical="top"/>
    </xf>
    <xf numFmtId="0" fontId="0" fillId="2" borderId="0" xfId="0" applyFill="1" applyAlignment="1">
      <alignment vertical="top"/>
    </xf>
    <xf numFmtId="0" fontId="14" fillId="2" borderId="0" xfId="0" applyFont="1" applyFill="1" applyAlignment="1">
      <alignment vertical="top"/>
    </xf>
    <xf numFmtId="4" fontId="7" fillId="2" borderId="0" xfId="0" applyNumberFormat="1" applyFont="1" applyFill="1" applyAlignment="1" applyProtection="1">
      <alignment horizontal="right" indent="1"/>
      <protection locked="0"/>
    </xf>
    <xf numFmtId="0" fontId="7" fillId="3" borderId="0" xfId="0" quotePrefix="1" applyFont="1" applyFill="1"/>
    <xf numFmtId="4" fontId="7" fillId="3" borderId="0" xfId="0" quotePrefix="1" applyNumberFormat="1" applyFont="1" applyFill="1"/>
    <xf numFmtId="164" fontId="7" fillId="3" borderId="0" xfId="1" applyNumberFormat="1" applyFont="1" applyFill="1"/>
    <xf numFmtId="0" fontId="6" fillId="2" borderId="0" xfId="0" applyFont="1" applyFill="1" applyAlignment="1">
      <alignment vertical="top" wrapText="1" shrinkToFit="1"/>
    </xf>
    <xf numFmtId="0" fontId="6" fillId="2" borderId="0" xfId="0" applyFont="1" applyFill="1" applyAlignment="1">
      <alignment vertical="top"/>
    </xf>
    <xf numFmtId="167" fontId="7" fillId="3" borderId="0" xfId="0" applyNumberFormat="1" applyFont="1" applyFill="1"/>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0" fontId="0" fillId="3" borderId="0" xfId="0" applyFill="1"/>
    <xf numFmtId="0" fontId="7" fillId="2" borderId="0" xfId="0" applyFont="1" applyFill="1" applyAlignment="1">
      <alignment horizontal="left" vertical="top" wrapText="1"/>
    </xf>
    <xf numFmtId="9" fontId="7" fillId="0" borderId="0" xfId="2" applyFont="1" applyFill="1" applyBorder="1" applyAlignment="1">
      <alignment horizontal="left" vertical="top"/>
    </xf>
    <xf numFmtId="0" fontId="26" fillId="3" borderId="0" xfId="0" applyFont="1" applyFill="1" applyAlignment="1">
      <alignment vertical="top"/>
    </xf>
    <xf numFmtId="0" fontId="34" fillId="3" borderId="0" xfId="0" applyFont="1" applyFill="1" applyAlignment="1">
      <alignment vertical="top"/>
    </xf>
    <xf numFmtId="0" fontId="13" fillId="3" borderId="0" xfId="0" applyFont="1" applyFill="1" applyAlignment="1">
      <alignment vertical="top"/>
    </xf>
    <xf numFmtId="0" fontId="25" fillId="3" borderId="0" xfId="0" applyFont="1" applyFill="1" applyAlignment="1">
      <alignment vertical="top"/>
    </xf>
    <xf numFmtId="0" fontId="13" fillId="3" borderId="0" xfId="0" applyFont="1" applyFill="1" applyAlignment="1">
      <alignment horizontal="center" vertical="top"/>
    </xf>
    <xf numFmtId="0" fontId="22" fillId="3" borderId="0" xfId="0" applyFont="1" applyFill="1" applyAlignment="1">
      <alignment vertical="top"/>
    </xf>
    <xf numFmtId="0" fontId="14" fillId="3" borderId="0" xfId="0" applyFont="1" applyFill="1" applyAlignment="1">
      <alignment horizontal="center" vertical="top"/>
    </xf>
    <xf numFmtId="0" fontId="22" fillId="3" borderId="0" xfId="0" applyFont="1" applyFill="1" applyAlignment="1">
      <alignment horizontal="left" vertical="top"/>
    </xf>
    <xf numFmtId="0" fontId="9" fillId="3" borderId="0" xfId="0" applyFont="1" applyFill="1" applyAlignment="1">
      <alignment vertical="top"/>
    </xf>
    <xf numFmtId="4" fontId="7" fillId="2" borderId="0" xfId="0" applyNumberFormat="1" applyFont="1" applyFill="1" applyAlignment="1">
      <alignment vertical="top"/>
    </xf>
    <xf numFmtId="4" fontId="7" fillId="2" borderId="0" xfId="0" applyNumberFormat="1" applyFont="1" applyFill="1" applyAlignment="1">
      <alignment vertical="top" wrapText="1"/>
    </xf>
    <xf numFmtId="0" fontId="4" fillId="2" borderId="0" xfId="0" applyFont="1" applyFill="1" applyAlignment="1">
      <alignment vertical="top"/>
    </xf>
    <xf numFmtId="4" fontId="11" fillId="2" borderId="0" xfId="0" applyNumberFormat="1"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vertical="top" wrapText="1"/>
    </xf>
    <xf numFmtId="0" fontId="7" fillId="2" borderId="0" xfId="0" applyFont="1" applyFill="1" applyAlignment="1">
      <alignment horizontal="left" vertical="top"/>
    </xf>
    <xf numFmtId="0" fontId="18" fillId="2" borderId="0" xfId="0" applyFont="1" applyFill="1" applyAlignment="1">
      <alignment vertical="top"/>
    </xf>
    <xf numFmtId="0" fontId="7" fillId="2" borderId="0" xfId="0" applyFont="1" applyFill="1" applyAlignment="1">
      <alignment horizontal="center" vertical="top"/>
    </xf>
    <xf numFmtId="0" fontId="18" fillId="2" borderId="0" xfId="0" quotePrefix="1" applyFont="1" applyFill="1" applyAlignment="1">
      <alignment vertical="top"/>
    </xf>
    <xf numFmtId="0" fontId="9" fillId="2" borderId="0" xfId="0" applyFont="1" applyFill="1" applyAlignment="1">
      <alignment horizontal="left" vertical="top"/>
    </xf>
    <xf numFmtId="0" fontId="11" fillId="2" borderId="0" xfId="0" applyFont="1" applyFill="1" applyAlignment="1">
      <alignment vertical="top"/>
    </xf>
    <xf numFmtId="4" fontId="7" fillId="2" borderId="0" xfId="0" applyNumberFormat="1" applyFont="1" applyFill="1" applyAlignment="1">
      <alignment horizontal="right" vertical="top"/>
    </xf>
    <xf numFmtId="3" fontId="7" fillId="2" borderId="0" xfId="0" applyNumberFormat="1" applyFont="1" applyFill="1" applyAlignment="1">
      <alignment horizontal="right"/>
    </xf>
    <xf numFmtId="3" fontId="24" fillId="2" borderId="0" xfId="0" applyNumberFormat="1" applyFont="1" applyFill="1" applyAlignment="1" applyProtection="1">
      <alignment horizontal="right"/>
      <protection locked="0"/>
    </xf>
    <xf numFmtId="0" fontId="7" fillId="3" borderId="0" xfId="0" quotePrefix="1" applyFont="1" applyFill="1" applyAlignment="1">
      <alignment horizontal="right" vertical="top"/>
    </xf>
    <xf numFmtId="0" fontId="6" fillId="3" borderId="0" xfId="0" quotePrefix="1" applyFont="1" applyFill="1" applyAlignment="1">
      <alignment horizontal="right" vertical="top"/>
    </xf>
    <xf numFmtId="0" fontId="5" fillId="3" borderId="0" xfId="0" applyFont="1" applyFill="1" applyAlignment="1">
      <alignment vertical="top"/>
    </xf>
    <xf numFmtId="0" fontId="7" fillId="3" borderId="0" xfId="0" quotePrefix="1" applyFont="1" applyFill="1" applyAlignment="1">
      <alignment horizontal="right" vertical="top" wrapText="1"/>
    </xf>
    <xf numFmtId="0" fontId="7" fillId="3" borderId="0" xfId="0" applyFont="1" applyFill="1" applyAlignment="1">
      <alignment vertical="top" wrapText="1"/>
    </xf>
    <xf numFmtId="0" fontId="9" fillId="3" borderId="0" xfId="0" applyFont="1" applyFill="1"/>
    <xf numFmtId="0" fontId="8" fillId="3" borderId="0" xfId="0" applyFont="1" applyFill="1" applyAlignment="1">
      <alignment vertical="top"/>
    </xf>
    <xf numFmtId="0" fontId="9" fillId="2" borderId="12" xfId="0" applyFont="1" applyFill="1" applyBorder="1" applyAlignment="1">
      <alignment horizontal="left"/>
    </xf>
    <xf numFmtId="0" fontId="6" fillId="3" borderId="0" xfId="0" applyFont="1" applyFill="1" applyAlignment="1">
      <alignment horizontal="left" vertical="top"/>
    </xf>
    <xf numFmtId="0" fontId="7" fillId="3" borderId="12" xfId="0" applyFont="1" applyFill="1" applyBorder="1"/>
    <xf numFmtId="0" fontId="9" fillId="0" borderId="12" xfId="0" applyFont="1" applyBorder="1" applyAlignment="1">
      <alignment horizontal="left" vertical="top"/>
    </xf>
    <xf numFmtId="0" fontId="9"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xf>
    <xf numFmtId="167" fontId="7" fillId="0" borderId="0" xfId="0" applyNumberFormat="1" applyFont="1" applyAlignment="1">
      <alignment vertical="top"/>
    </xf>
    <xf numFmtId="0" fontId="22" fillId="0" borderId="3" xfId="0" applyFont="1" applyBorder="1" applyAlignment="1">
      <alignment horizontal="left" vertical="top"/>
    </xf>
    <xf numFmtId="0" fontId="22" fillId="0" borderId="0" xfId="0" applyFont="1" applyAlignment="1">
      <alignment horizontal="left" vertical="top"/>
    </xf>
    <xf numFmtId="0" fontId="24" fillId="0" borderId="0" xfId="0" applyFont="1" applyAlignment="1">
      <alignment horizontal="right" vertical="top"/>
    </xf>
    <xf numFmtId="167" fontId="24" fillId="0" borderId="0" xfId="0" applyNumberFormat="1" applyFont="1" applyAlignment="1">
      <alignment horizontal="right" vertical="top"/>
    </xf>
    <xf numFmtId="0" fontId="7" fillId="0" borderId="1" xfId="0" applyFont="1" applyBorder="1" applyAlignment="1">
      <alignment horizontal="left" vertical="top" wrapText="1"/>
    </xf>
    <xf numFmtId="0" fontId="22" fillId="0" borderId="3" xfId="0" applyFont="1" applyBorder="1" applyAlignment="1">
      <alignment horizontal="left" vertical="top" wrapText="1"/>
    </xf>
    <xf numFmtId="167" fontId="7" fillId="0" borderId="0" xfId="0" applyNumberFormat="1" applyFont="1" applyAlignment="1">
      <alignment horizontal="left" vertical="top" wrapText="1"/>
    </xf>
    <xf numFmtId="0" fontId="7" fillId="0" borderId="13" xfId="0" applyFont="1" applyBorder="1" applyAlignment="1">
      <alignment horizontal="left" vertical="top"/>
    </xf>
    <xf numFmtId="3" fontId="24" fillId="0" borderId="0" xfId="0" applyNumberFormat="1" applyFont="1" applyAlignment="1">
      <alignment horizontal="right" vertical="top"/>
    </xf>
    <xf numFmtId="0" fontId="7" fillId="0" borderId="12"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0" xfId="0" applyFont="1" applyAlignment="1">
      <alignment horizontal="right" vertical="top"/>
    </xf>
    <xf numFmtId="2" fontId="24" fillId="0" borderId="0" xfId="0" applyNumberFormat="1" applyFont="1" applyAlignment="1">
      <alignment horizontal="right" vertical="top"/>
    </xf>
    <xf numFmtId="0" fontId="7" fillId="0" borderId="9" xfId="0" applyFont="1" applyBorder="1" applyAlignment="1">
      <alignment horizontal="left" vertical="top"/>
    </xf>
    <xf numFmtId="0" fontId="7" fillId="0" borderId="12" xfId="0" applyFont="1" applyBorder="1" applyAlignment="1">
      <alignment horizontal="left" vertical="top"/>
    </xf>
    <xf numFmtId="167" fontId="24" fillId="0" borderId="12" xfId="0" applyNumberFormat="1" applyFont="1" applyBorder="1" applyAlignment="1">
      <alignment horizontal="right" vertical="top"/>
    </xf>
    <xf numFmtId="0" fontId="24" fillId="0" borderId="12" xfId="0" applyFont="1" applyBorder="1" applyAlignment="1">
      <alignment horizontal="right" vertical="top"/>
    </xf>
    <xf numFmtId="0" fontId="7" fillId="0" borderId="0" xfId="0" applyFont="1" applyAlignment="1">
      <alignment horizontal="left" vertical="top" wrapText="1"/>
    </xf>
    <xf numFmtId="0" fontId="7" fillId="0" borderId="4" xfId="0" applyFont="1" applyBorder="1" applyAlignment="1">
      <alignment horizontal="left" vertical="top"/>
    </xf>
    <xf numFmtId="0" fontId="7" fillId="0" borderId="6" xfId="0" applyFont="1" applyBorder="1" applyAlignment="1">
      <alignment horizontal="left" vertical="top"/>
    </xf>
    <xf numFmtId="167" fontId="24" fillId="0" borderId="14" xfId="0" applyNumberFormat="1" applyFont="1" applyBorder="1" applyAlignment="1">
      <alignment horizontal="right" vertical="top"/>
    </xf>
    <xf numFmtId="167" fontId="7" fillId="0" borderId="14" xfId="0" applyNumberFormat="1" applyFont="1" applyBorder="1" applyAlignment="1">
      <alignment horizontal="left" vertical="top"/>
    </xf>
    <xf numFmtId="167" fontId="7" fillId="0" borderId="1" xfId="0" applyNumberFormat="1" applyFont="1" applyBorder="1" applyAlignment="1">
      <alignment horizontal="left" vertical="top" wrapText="1"/>
    </xf>
    <xf numFmtId="167" fontId="7" fillId="0" borderId="12" xfId="0" applyNumberFormat="1" applyFont="1" applyBorder="1" applyAlignment="1">
      <alignment horizontal="left" vertical="top" wrapText="1"/>
    </xf>
    <xf numFmtId="0" fontId="7" fillId="0" borderId="1" xfId="0" applyFont="1" applyBorder="1" applyAlignment="1">
      <alignment horizontal="left" vertical="top"/>
    </xf>
    <xf numFmtId="167" fontId="24" fillId="0" borderId="1" xfId="0" applyNumberFormat="1" applyFont="1" applyBorder="1" applyAlignment="1">
      <alignment horizontal="right" vertical="top"/>
    </xf>
    <xf numFmtId="167" fontId="7" fillId="0" borderId="0" xfId="0" applyNumberFormat="1" applyFont="1" applyAlignment="1">
      <alignment horizontal="left" vertical="top"/>
    </xf>
    <xf numFmtId="167" fontId="7" fillId="0" borderId="12" xfId="0" applyNumberFormat="1" applyFont="1" applyBorder="1" applyAlignment="1">
      <alignment horizontal="left" vertical="top"/>
    </xf>
    <xf numFmtId="0" fontId="7" fillId="0" borderId="5" xfId="0" applyFont="1" applyBorder="1" applyAlignment="1">
      <alignment horizontal="left" vertical="top"/>
    </xf>
    <xf numFmtId="0" fontId="24" fillId="0" borderId="1" xfId="0" applyFont="1" applyBorder="1" applyAlignment="1">
      <alignment horizontal="right" vertical="top"/>
    </xf>
    <xf numFmtId="0" fontId="0" fillId="0" borderId="0" xfId="0" applyAlignment="1">
      <alignment vertical="top"/>
    </xf>
    <xf numFmtId="0" fontId="7" fillId="0" borderId="8" xfId="0" applyFont="1" applyBorder="1" applyAlignment="1">
      <alignment horizontal="left" vertical="top"/>
    </xf>
    <xf numFmtId="4" fontId="24" fillId="0" borderId="0" xfId="0" applyNumberFormat="1" applyFont="1" applyAlignment="1">
      <alignment horizontal="right" vertical="top"/>
    </xf>
    <xf numFmtId="0" fontId="0" fillId="0" borderId="0" xfId="0" applyAlignment="1">
      <alignment horizontal="left" vertical="top"/>
    </xf>
    <xf numFmtId="0" fontId="0" fillId="0" borderId="12" xfId="0" applyBorder="1" applyAlignment="1">
      <alignment horizontal="left" vertical="top"/>
    </xf>
    <xf numFmtId="167" fontId="7" fillId="0" borderId="0" xfId="0" applyNumberFormat="1" applyFont="1" applyAlignment="1">
      <alignment horizontal="right" vertical="top"/>
    </xf>
    <xf numFmtId="9" fontId="24" fillId="0" borderId="1" xfId="0" applyNumberFormat="1" applyFont="1" applyBorder="1" applyAlignment="1">
      <alignment horizontal="right" vertical="top"/>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11" xfId="0" applyFont="1" applyBorder="1" applyAlignment="1">
      <alignment horizontal="left" vertical="top"/>
    </xf>
    <xf numFmtId="168" fontId="24" fillId="0" borderId="0" xfId="0" applyNumberFormat="1" applyFont="1" applyAlignment="1">
      <alignment horizontal="right" vertical="top"/>
    </xf>
    <xf numFmtId="0" fontId="22" fillId="3" borderId="12" xfId="0" applyFont="1" applyFill="1" applyBorder="1" applyAlignment="1">
      <alignment horizontal="left" vertical="top"/>
    </xf>
    <xf numFmtId="0" fontId="6" fillId="3" borderId="0" xfId="0" applyFont="1" applyFill="1" applyAlignment="1">
      <alignment horizontal="center" vertical="top"/>
    </xf>
    <xf numFmtId="1" fontId="6" fillId="3" borderId="0" xfId="0" applyNumberFormat="1" applyFont="1" applyFill="1" applyAlignment="1">
      <alignment vertical="top"/>
    </xf>
    <xf numFmtId="0" fontId="7" fillId="2" borderId="12" xfId="0" applyFont="1" applyFill="1" applyBorder="1" applyAlignment="1">
      <alignment vertical="top"/>
    </xf>
    <xf numFmtId="0" fontId="9" fillId="2" borderId="12" xfId="0" applyFont="1" applyFill="1" applyBorder="1" applyAlignment="1">
      <alignment vertical="top"/>
    </xf>
    <xf numFmtId="0" fontId="9" fillId="2" borderId="14" xfId="0" applyFont="1" applyFill="1" applyBorder="1" applyAlignment="1">
      <alignment horizontal="center" vertical="top" wrapText="1"/>
    </xf>
    <xf numFmtId="3" fontId="29" fillId="2" borderId="12" xfId="0" applyNumberFormat="1" applyFont="1" applyFill="1" applyBorder="1" applyAlignment="1">
      <alignment horizontal="right" vertical="center" indent="3"/>
    </xf>
    <xf numFmtId="3" fontId="29" fillId="2" borderId="12" xfId="0" applyNumberFormat="1" applyFont="1" applyFill="1" applyBorder="1" applyAlignment="1">
      <alignment horizontal="right" vertical="center" indent="5"/>
    </xf>
    <xf numFmtId="3" fontId="9" fillId="2" borderId="12" xfId="0" applyNumberFormat="1" applyFont="1" applyFill="1" applyBorder="1" applyAlignment="1">
      <alignment horizontal="right" vertical="center" indent="3"/>
    </xf>
    <xf numFmtId="3" fontId="6" fillId="2" borderId="0" xfId="0" applyNumberFormat="1" applyFont="1" applyFill="1" applyAlignment="1">
      <alignment horizontal="right"/>
    </xf>
    <xf numFmtId="4" fontId="6" fillId="2" borderId="0" xfId="0" applyNumberFormat="1" applyFont="1" applyFill="1" applyAlignment="1">
      <alignment vertical="top"/>
    </xf>
    <xf numFmtId="0" fontId="6" fillId="2" borderId="0" xfId="0" applyFont="1" applyFill="1" applyAlignment="1">
      <alignment horizontal="right"/>
    </xf>
    <xf numFmtId="0" fontId="7" fillId="2" borderId="12" xfId="0" applyFont="1" applyFill="1" applyBorder="1" applyAlignment="1">
      <alignment horizontal="left" vertical="top"/>
    </xf>
    <xf numFmtId="3" fontId="7" fillId="2" borderId="12" xfId="0" applyNumberFormat="1" applyFont="1" applyFill="1" applyBorder="1" applyAlignment="1">
      <alignment horizontal="right"/>
    </xf>
    <xf numFmtId="3" fontId="6" fillId="2" borderId="12" xfId="0" applyNumberFormat="1" applyFont="1" applyFill="1" applyBorder="1" applyAlignment="1">
      <alignment horizontal="right"/>
    </xf>
    <xf numFmtId="164" fontId="6" fillId="2" borderId="0" xfId="0" applyNumberFormat="1" applyFont="1" applyFill="1" applyAlignment="1">
      <alignment vertical="top"/>
    </xf>
    <xf numFmtId="44" fontId="6" fillId="2" borderId="0" xfId="0" applyNumberFormat="1" applyFont="1" applyFill="1" applyAlignment="1">
      <alignment vertical="top"/>
    </xf>
    <xf numFmtId="0" fontId="6" fillId="3" borderId="0" xfId="0" applyFont="1" applyFill="1" applyAlignment="1">
      <alignment horizontal="center"/>
    </xf>
    <xf numFmtId="4" fontId="6" fillId="3" borderId="0" xfId="0" applyNumberFormat="1" applyFont="1" applyFill="1" applyAlignment="1">
      <alignment horizontal="right" vertical="center" indent="2"/>
    </xf>
    <xf numFmtId="4" fontId="12" fillId="3" borderId="0" xfId="0" applyNumberFormat="1" applyFont="1" applyFill="1" applyAlignment="1">
      <alignment horizontal="right" vertical="center" indent="2"/>
    </xf>
    <xf numFmtId="3" fontId="7" fillId="3" borderId="12" xfId="0" applyNumberFormat="1" applyFont="1" applyFill="1" applyBorder="1" applyAlignment="1">
      <alignment horizontal="center" vertical="center"/>
    </xf>
    <xf numFmtId="0" fontId="9" fillId="3" borderId="12" xfId="0" applyFont="1" applyFill="1" applyBorder="1" applyAlignment="1">
      <alignment horizontal="right" vertical="top" wrapText="1"/>
    </xf>
    <xf numFmtId="0" fontId="9" fillId="3" borderId="14" xfId="0" applyFont="1" applyFill="1" applyBorder="1" applyAlignment="1">
      <alignment horizontal="left"/>
    </xf>
    <xf numFmtId="0" fontId="6" fillId="2" borderId="0" xfId="0" quotePrefix="1" applyFont="1" applyFill="1"/>
    <xf numFmtId="4" fontId="6" fillId="2" borderId="0" xfId="0" applyNumberFormat="1" applyFont="1" applyFill="1" applyAlignment="1">
      <alignment horizontal="right" indent="1"/>
    </xf>
    <xf numFmtId="0" fontId="6" fillId="2" borderId="12" xfId="0" applyFont="1" applyFill="1" applyBorder="1"/>
    <xf numFmtId="167" fontId="6" fillId="2" borderId="12" xfId="0" applyNumberFormat="1" applyFont="1" applyFill="1" applyBorder="1" applyAlignment="1">
      <alignment horizontal="right" indent="1"/>
    </xf>
    <xf numFmtId="0" fontId="8" fillId="0" borderId="14" xfId="0" applyFont="1" applyBorder="1" applyAlignment="1">
      <alignment horizontal="left" vertical="top"/>
    </xf>
    <xf numFmtId="0" fontId="9" fillId="0" borderId="14" xfId="0" applyFont="1" applyBorder="1" applyAlignment="1">
      <alignment horizontal="left" vertical="top"/>
    </xf>
    <xf numFmtId="0" fontId="7" fillId="0" borderId="14" xfId="0" applyFont="1" applyBorder="1" applyAlignment="1">
      <alignment horizontal="left" vertical="top"/>
    </xf>
    <xf numFmtId="0" fontId="7" fillId="0" borderId="14" xfId="0" applyFont="1" applyBorder="1" applyAlignment="1">
      <alignment horizontal="right" vertical="top"/>
    </xf>
    <xf numFmtId="0" fontId="7" fillId="0" borderId="14" xfId="0" applyFont="1" applyBorder="1" applyAlignment="1">
      <alignment horizontal="right" vertical="top" wrapText="1"/>
    </xf>
    <xf numFmtId="0" fontId="7" fillId="0" borderId="14" xfId="0" applyFont="1" applyBorder="1" applyAlignment="1">
      <alignment horizontal="left" vertical="top" wrapText="1"/>
    </xf>
    <xf numFmtId="0" fontId="11" fillId="3" borderId="0" xfId="0" applyFont="1" applyFill="1" applyAlignment="1">
      <alignment vertical="top" wrapText="1"/>
    </xf>
    <xf numFmtId="4" fontId="7" fillId="3" borderId="0" xfId="0" applyNumberFormat="1" applyFont="1" applyFill="1" applyAlignment="1">
      <alignment horizontal="left" vertical="top"/>
    </xf>
    <xf numFmtId="2" fontId="4" fillId="2" borderId="0" xfId="0" applyNumberFormat="1" applyFont="1" applyFill="1" applyAlignment="1">
      <alignment horizontal="left" vertical="top"/>
    </xf>
    <xf numFmtId="0" fontId="9" fillId="2" borderId="14" xfId="0" applyFont="1" applyFill="1" applyBorder="1" applyAlignment="1">
      <alignment horizontal="right" vertical="top" wrapText="1"/>
    </xf>
    <xf numFmtId="0" fontId="16" fillId="3" borderId="0" xfId="0" applyFont="1" applyFill="1" applyAlignment="1">
      <alignment horizontal="right" vertical="top"/>
    </xf>
    <xf numFmtId="0" fontId="16" fillId="3" borderId="0" xfId="0" applyFont="1" applyFill="1" applyAlignment="1">
      <alignment vertical="top"/>
    </xf>
    <xf numFmtId="0" fontId="23" fillId="3" borderId="0" xfId="0" applyFont="1" applyFill="1" applyAlignment="1">
      <alignment vertical="top"/>
    </xf>
    <xf numFmtId="0" fontId="15" fillId="3" borderId="0" xfId="0" applyFont="1" applyFill="1" applyAlignment="1">
      <alignment vertical="top"/>
    </xf>
    <xf numFmtId="0" fontId="24" fillId="3" borderId="0" xfId="0" applyFont="1" applyFill="1" applyAlignment="1">
      <alignment vertical="top"/>
    </xf>
    <xf numFmtId="0" fontId="36" fillId="3" borderId="0" xfId="0" applyFont="1" applyFill="1" applyAlignment="1">
      <alignment vertical="top"/>
    </xf>
    <xf numFmtId="1" fontId="9" fillId="3" borderId="0" xfId="0" applyNumberFormat="1" applyFont="1" applyFill="1" applyAlignment="1" applyProtection="1">
      <alignment horizontal="center"/>
      <protection locked="0"/>
    </xf>
    <xf numFmtId="4" fontId="7" fillId="3" borderId="0" xfId="0" applyNumberFormat="1" applyFont="1" applyFill="1" applyAlignment="1" applyProtection="1">
      <alignment horizontal="right" vertical="top"/>
      <protection locked="0"/>
    </xf>
    <xf numFmtId="3" fontId="7" fillId="4" borderId="0" xfId="0" applyNumberFormat="1" applyFont="1" applyFill="1" applyAlignment="1">
      <alignment horizontal="center" vertical="center"/>
    </xf>
    <xf numFmtId="4" fontId="7" fillId="3" borderId="0" xfId="0" applyNumberFormat="1" applyFont="1" applyFill="1" applyAlignment="1">
      <alignment horizontal="right"/>
    </xf>
    <xf numFmtId="4" fontId="6" fillId="3" borderId="0" xfId="0" applyNumberFormat="1" applyFont="1" applyFill="1" applyAlignment="1">
      <alignment horizontal="right"/>
    </xf>
    <xf numFmtId="0" fontId="7" fillId="3" borderId="0" xfId="0" applyFont="1" applyFill="1" applyAlignment="1">
      <alignment horizontal="right"/>
    </xf>
    <xf numFmtId="0" fontId="9" fillId="3" borderId="14" xfId="0" applyFont="1" applyFill="1" applyBorder="1" applyAlignment="1">
      <alignment horizontal="center" vertical="top" wrapText="1"/>
    </xf>
    <xf numFmtId="0" fontId="8" fillId="3" borderId="14" xfId="0" applyFont="1" applyFill="1" applyBorder="1" applyAlignment="1">
      <alignment horizontal="left"/>
    </xf>
    <xf numFmtId="0" fontId="5" fillId="3" borderId="12" xfId="0" applyFont="1" applyFill="1" applyBorder="1" applyAlignment="1">
      <alignment horizontal="left" vertical="top" wrapText="1"/>
    </xf>
    <xf numFmtId="0" fontId="9" fillId="3" borderId="14" xfId="0" applyFont="1" applyFill="1" applyBorder="1" applyAlignment="1">
      <alignment horizontal="left" vertical="top"/>
    </xf>
    <xf numFmtId="0" fontId="9" fillId="3" borderId="12" xfId="0" applyFont="1" applyFill="1" applyBorder="1" applyAlignment="1">
      <alignment horizontal="right" vertical="top"/>
    </xf>
    <xf numFmtId="0" fontId="6" fillId="3" borderId="0" xfId="0" applyFont="1" applyFill="1" applyAlignment="1">
      <alignment horizontal="left"/>
    </xf>
    <xf numFmtId="0" fontId="22" fillId="3" borderId="0" xfId="0" applyFont="1" applyFill="1" applyAlignment="1">
      <alignment horizontal="left"/>
    </xf>
    <xf numFmtId="0" fontId="5" fillId="3" borderId="0" xfId="0" applyFont="1" applyFill="1" applyAlignment="1">
      <alignment horizontal="left"/>
    </xf>
    <xf numFmtId="0" fontId="9"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0" fontId="6" fillId="3" borderId="12" xfId="0" applyFont="1" applyFill="1" applyBorder="1" applyAlignment="1">
      <alignment horizontal="left"/>
    </xf>
    <xf numFmtId="0" fontId="7" fillId="3" borderId="12" xfId="0" applyFont="1" applyFill="1" applyBorder="1" applyAlignment="1">
      <alignment horizontal="left"/>
    </xf>
    <xf numFmtId="3" fontId="9" fillId="3" borderId="14" xfId="0" applyNumberFormat="1" applyFont="1" applyFill="1" applyBorder="1" applyAlignment="1">
      <alignment horizontal="right" vertical="top"/>
    </xf>
    <xf numFmtId="3" fontId="9" fillId="3" borderId="12" xfId="0" applyNumberFormat="1" applyFont="1" applyFill="1" applyBorder="1" applyAlignment="1">
      <alignment horizontal="right" vertical="top"/>
    </xf>
    <xf numFmtId="3" fontId="7" fillId="3" borderId="0" xfId="0" applyNumberFormat="1" applyFont="1" applyFill="1" applyAlignment="1">
      <alignment horizontal="right"/>
    </xf>
    <xf numFmtId="3" fontId="9" fillId="3" borderId="0" xfId="0" applyNumberFormat="1" applyFont="1" applyFill="1" applyAlignment="1">
      <alignment horizontal="right"/>
    </xf>
    <xf numFmtId="3" fontId="48" fillId="3" borderId="0" xfId="0" applyNumberFormat="1" applyFont="1" applyFill="1" applyAlignment="1">
      <alignment horizontal="right"/>
    </xf>
    <xf numFmtId="3" fontId="48" fillId="3" borderId="0" xfId="0" applyNumberFormat="1" applyFont="1" applyFill="1"/>
    <xf numFmtId="3" fontId="9" fillId="3" borderId="0" xfId="0" applyNumberFormat="1" applyFont="1" applyFill="1"/>
    <xf numFmtId="3" fontId="7" fillId="3" borderId="12" xfId="0" applyNumberFormat="1" applyFont="1" applyFill="1" applyBorder="1" applyAlignment="1">
      <alignment horizontal="right"/>
    </xf>
    <xf numFmtId="3" fontId="7" fillId="3" borderId="0" xfId="0" applyNumberFormat="1" applyFont="1" applyFill="1" applyAlignment="1">
      <alignment horizontal="right" vertical="top"/>
    </xf>
    <xf numFmtId="3" fontId="7" fillId="3" borderId="0" xfId="0" applyNumberFormat="1" applyFont="1" applyFill="1" applyAlignment="1">
      <alignment vertical="top"/>
    </xf>
    <xf numFmtId="3" fontId="6" fillId="3" borderId="0" xfId="0" applyNumberFormat="1" applyFont="1" applyFill="1" applyAlignment="1">
      <alignment vertical="top"/>
    </xf>
    <xf numFmtId="3" fontId="14" fillId="3" borderId="0" xfId="0" applyNumberFormat="1" applyFont="1" applyFill="1" applyAlignment="1">
      <alignment vertical="top"/>
    </xf>
    <xf numFmtId="0" fontId="11" fillId="3" borderId="0" xfId="0" applyFont="1" applyFill="1" applyAlignment="1" applyProtection="1">
      <alignment horizontal="left" vertical="top" wrapText="1"/>
      <protection locked="0"/>
    </xf>
    <xf numFmtId="169" fontId="30" fillId="3" borderId="0" xfId="0" applyNumberFormat="1" applyFont="1" applyFill="1" applyAlignment="1">
      <alignment horizontal="left" vertical="center"/>
    </xf>
    <xf numFmtId="9" fontId="27" fillId="3" borderId="0" xfId="0" applyNumberFormat="1" applyFont="1" applyFill="1" applyAlignment="1">
      <alignment horizontal="left" vertical="center"/>
    </xf>
    <xf numFmtId="0" fontId="29" fillId="3" borderId="12" xfId="0" applyFont="1" applyFill="1" applyBorder="1" applyAlignment="1" applyProtection="1">
      <alignment horizontal="left" indent="5"/>
      <protection locked="0"/>
    </xf>
    <xf numFmtId="1" fontId="9" fillId="3" borderId="12" xfId="0" applyNumberFormat="1" applyFont="1" applyFill="1" applyBorder="1" applyAlignment="1" applyProtection="1">
      <alignment horizontal="center"/>
      <protection locked="0"/>
    </xf>
    <xf numFmtId="3" fontId="7" fillId="4" borderId="12" xfId="0" applyNumberFormat="1" applyFont="1" applyFill="1" applyBorder="1" applyAlignment="1">
      <alignment horizontal="center" vertical="center"/>
    </xf>
    <xf numFmtId="0" fontId="9" fillId="3" borderId="14" xfId="0" applyFont="1" applyFill="1" applyBorder="1" applyAlignment="1">
      <alignment vertical="top" wrapText="1"/>
    </xf>
    <xf numFmtId="4" fontId="7" fillId="2" borderId="12" xfId="0" applyNumberFormat="1" applyFont="1" applyFill="1" applyBorder="1" applyAlignment="1">
      <alignment vertical="top"/>
    </xf>
    <xf numFmtId="0" fontId="6" fillId="2" borderId="0" xfId="0" applyFont="1" applyFill="1" applyAlignment="1">
      <alignment horizontal="right" vertical="top"/>
    </xf>
    <xf numFmtId="0" fontId="6" fillId="2" borderId="12" xfId="0" applyFont="1" applyFill="1" applyBorder="1" applyAlignment="1">
      <alignment horizontal="right" vertical="top"/>
    </xf>
    <xf numFmtId="0" fontId="9" fillId="2" borderId="14" xfId="0" applyFont="1" applyFill="1" applyBorder="1" applyAlignment="1">
      <alignment vertical="top"/>
    </xf>
    <xf numFmtId="0" fontId="5" fillId="2" borderId="14" xfId="0" applyFont="1" applyFill="1" applyBorder="1" applyAlignment="1">
      <alignment horizontal="right" vertical="top"/>
    </xf>
    <xf numFmtId="170" fontId="7" fillId="2" borderId="0" xfId="0" applyNumberFormat="1" applyFont="1" applyFill="1" applyAlignment="1">
      <alignment horizontal="right"/>
    </xf>
    <xf numFmtId="3" fontId="7" fillId="2" borderId="0" xfId="0" applyNumberFormat="1" applyFont="1" applyFill="1"/>
    <xf numFmtId="3" fontId="7" fillId="2" borderId="0" xfId="0" applyNumberFormat="1" applyFont="1" applyFill="1" applyAlignment="1">
      <alignment vertical="top"/>
    </xf>
    <xf numFmtId="3" fontId="7" fillId="2" borderId="12" xfId="0" applyNumberFormat="1" applyFont="1" applyFill="1" applyBorder="1"/>
    <xf numFmtId="3" fontId="36" fillId="2" borderId="12" xfId="0" applyNumberFormat="1" applyFont="1" applyFill="1" applyBorder="1"/>
    <xf numFmtId="0" fontId="9" fillId="2" borderId="14"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4" xfId="0" applyFont="1" applyFill="1" applyBorder="1" applyAlignment="1">
      <alignment horizontal="right" vertical="top" wrapText="1"/>
    </xf>
    <xf numFmtId="165" fontId="20" fillId="2" borderId="0" xfId="3" applyNumberFormat="1" applyFont="1" applyFill="1" applyBorder="1" applyAlignment="1" applyProtection="1">
      <alignment horizontal="left" vertical="top"/>
      <protection locked="0"/>
    </xf>
    <xf numFmtId="3" fontId="6" fillId="3" borderId="12" xfId="0" applyNumberFormat="1" applyFont="1" applyFill="1" applyBorder="1" applyAlignment="1">
      <alignment horizontal="right"/>
    </xf>
    <xf numFmtId="3" fontId="24" fillId="3" borderId="12" xfId="0" applyNumberFormat="1" applyFont="1" applyFill="1" applyBorder="1" applyAlignment="1">
      <alignment horizontal="right"/>
    </xf>
    <xf numFmtId="0" fontId="5" fillId="3" borderId="14" xfId="0" applyFont="1" applyFill="1" applyBorder="1" applyAlignment="1">
      <alignment vertical="top"/>
    </xf>
    <xf numFmtId="0" fontId="9" fillId="3" borderId="14" xfId="0" applyFont="1" applyFill="1" applyBorder="1" applyAlignment="1">
      <alignment horizontal="left" vertical="top" wrapText="1"/>
    </xf>
    <xf numFmtId="0" fontId="7" fillId="0" borderId="0" xfId="0" applyFont="1" applyAlignment="1">
      <alignment horizontal="left"/>
    </xf>
    <xf numFmtId="4" fontId="7" fillId="3" borderId="0" xfId="0" applyNumberFormat="1" applyFont="1" applyFill="1" applyAlignment="1" applyProtection="1">
      <alignment horizontal="right"/>
      <protection locked="0"/>
    </xf>
    <xf numFmtId="3" fontId="15" fillId="3" borderId="0" xfId="0" applyNumberFormat="1" applyFont="1" applyFill="1" applyAlignment="1">
      <alignment horizontal="right"/>
    </xf>
    <xf numFmtId="4" fontId="12" fillId="3" borderId="0" xfId="0" applyNumberFormat="1" applyFont="1" applyFill="1" applyAlignment="1">
      <alignment horizontal="right"/>
    </xf>
    <xf numFmtId="0" fontId="6" fillId="3" borderId="12" xfId="0" applyFont="1" applyFill="1" applyBorder="1"/>
    <xf numFmtId="0" fontId="9" fillId="3" borderId="14" xfId="0" applyFont="1" applyFill="1" applyBorder="1" applyAlignment="1">
      <alignment horizontal="right" wrapText="1"/>
    </xf>
    <xf numFmtId="0" fontId="9" fillId="3" borderId="12" xfId="0" applyFont="1" applyFill="1" applyBorder="1" applyAlignment="1">
      <alignment horizontal="right" wrapText="1"/>
    </xf>
    <xf numFmtId="4" fontId="7" fillId="3" borderId="0" xfId="0" applyNumberFormat="1" applyFont="1" applyFill="1" applyAlignment="1">
      <alignment horizontal="right" vertical="center"/>
    </xf>
    <xf numFmtId="4" fontId="7" fillId="3" borderId="0" xfId="0" applyNumberFormat="1" applyFont="1" applyFill="1" applyAlignment="1" applyProtection="1">
      <alignment horizontal="right" vertical="center"/>
      <protection locked="0"/>
    </xf>
    <xf numFmtId="3" fontId="7" fillId="3" borderId="0" xfId="0" applyNumberFormat="1" applyFont="1" applyFill="1" applyAlignment="1">
      <alignment horizontal="right" vertical="center"/>
    </xf>
    <xf numFmtId="166" fontId="7" fillId="3" borderId="0" xfId="0" applyNumberFormat="1" applyFont="1" applyFill="1" applyAlignment="1" applyProtection="1">
      <alignment horizontal="right" vertical="center"/>
      <protection locked="0"/>
    </xf>
    <xf numFmtId="4" fontId="7" fillId="3" borderId="12" xfId="0" applyNumberFormat="1" applyFont="1" applyFill="1" applyBorder="1" applyAlignment="1" applyProtection="1">
      <alignment horizontal="right" vertical="center"/>
      <protection locked="0"/>
    </xf>
    <xf numFmtId="3" fontId="7" fillId="3" borderId="12" xfId="0" applyNumberFormat="1" applyFont="1" applyFill="1" applyBorder="1" applyAlignment="1">
      <alignment horizontal="right" vertical="center"/>
    </xf>
    <xf numFmtId="4" fontId="7" fillId="3" borderId="12" xfId="0" applyNumberFormat="1" applyFont="1" applyFill="1" applyBorder="1" applyAlignment="1">
      <alignment horizontal="right" vertical="center"/>
    </xf>
    <xf numFmtId="0" fontId="14" fillId="3" borderId="0" xfId="0" applyFont="1" applyFill="1" applyAlignment="1">
      <alignment horizontal="right"/>
    </xf>
    <xf numFmtId="0" fontId="11" fillId="3" borderId="0" xfId="0" applyFont="1" applyFill="1" applyAlignment="1">
      <alignment horizontal="right" vertical="top" wrapText="1"/>
    </xf>
    <xf numFmtId="0" fontId="5" fillId="3" borderId="14" xfId="0" applyFont="1" applyFill="1" applyBorder="1" applyAlignment="1">
      <alignment horizontal="center" vertical="top" wrapText="1"/>
    </xf>
    <xf numFmtId="9" fontId="9" fillId="3" borderId="14" xfId="2" applyFont="1" applyFill="1" applyBorder="1" applyAlignment="1">
      <alignment horizontal="center" vertical="top" wrapText="1"/>
    </xf>
    <xf numFmtId="0" fontId="40" fillId="3" borderId="14" xfId="0" applyFont="1" applyFill="1" applyBorder="1" applyAlignment="1">
      <alignment horizontal="center" vertical="top" wrapText="1"/>
    </xf>
    <xf numFmtId="3" fontId="7" fillId="3" borderId="14" xfId="0" applyNumberFormat="1" applyFont="1" applyFill="1" applyBorder="1" applyAlignment="1" applyProtection="1">
      <alignment horizontal="center" vertical="center"/>
      <protection locked="0"/>
    </xf>
    <xf numFmtId="9" fontId="7" fillId="3" borderId="14" xfId="2" applyFont="1" applyFill="1" applyBorder="1" applyAlignment="1" applyProtection="1">
      <alignment horizontal="center" vertical="center"/>
      <protection locked="0"/>
    </xf>
    <xf numFmtId="3" fontId="7" fillId="3" borderId="1" xfId="0" applyNumberFormat="1" applyFont="1" applyFill="1" applyBorder="1" applyAlignment="1" applyProtection="1">
      <alignment horizontal="center" vertical="center"/>
      <protection locked="0"/>
    </xf>
    <xf numFmtId="3" fontId="24" fillId="3" borderId="0" xfId="0" applyNumberFormat="1" applyFont="1" applyFill="1" applyAlignment="1" applyProtection="1">
      <alignment horizontal="center" vertical="center"/>
      <protection locked="0"/>
    </xf>
    <xf numFmtId="9" fontId="24" fillId="3" borderId="0" xfId="2" applyFont="1" applyFill="1" applyBorder="1" applyAlignment="1" applyProtection="1">
      <alignment horizontal="center" vertical="center"/>
      <protection locked="0"/>
    </xf>
    <xf numFmtId="1" fontId="7" fillId="3" borderId="0" xfId="0" applyNumberFormat="1" applyFont="1" applyFill="1" applyAlignment="1">
      <alignment horizontal="center"/>
    </xf>
    <xf numFmtId="1" fontId="22" fillId="3" borderId="0" xfId="0" applyNumberFormat="1" applyFont="1" applyFill="1" applyAlignment="1">
      <alignment horizontal="center"/>
    </xf>
    <xf numFmtId="3" fontId="7" fillId="3" borderId="12" xfId="0" applyNumberFormat="1" applyFont="1" applyFill="1" applyBorder="1" applyAlignment="1" applyProtection="1">
      <alignment horizontal="center" vertical="center"/>
      <protection locked="0"/>
    </xf>
    <xf numFmtId="3" fontId="24" fillId="3" borderId="12" xfId="0" applyNumberFormat="1" applyFont="1" applyFill="1" applyBorder="1" applyAlignment="1" applyProtection="1">
      <alignment horizontal="center" vertical="center"/>
      <protection locked="0"/>
    </xf>
    <xf numFmtId="1" fontId="7" fillId="3" borderId="12" xfId="0" applyNumberFormat="1" applyFont="1" applyFill="1" applyBorder="1" applyAlignment="1">
      <alignment horizontal="center"/>
    </xf>
    <xf numFmtId="1" fontId="22" fillId="3" borderId="12" xfId="0" applyNumberFormat="1" applyFont="1" applyFill="1" applyBorder="1" applyAlignment="1">
      <alignment horizontal="center"/>
    </xf>
    <xf numFmtId="3" fontId="9" fillId="3" borderId="14" xfId="0" applyNumberFormat="1" applyFont="1" applyFill="1" applyBorder="1" applyAlignment="1" applyProtection="1">
      <alignment horizontal="center" vertical="center"/>
      <protection locked="0"/>
    </xf>
    <xf numFmtId="3" fontId="9" fillId="3" borderId="14" xfId="0" applyNumberFormat="1" applyFont="1" applyFill="1" applyBorder="1" applyAlignment="1">
      <alignment horizontal="center"/>
    </xf>
    <xf numFmtId="1" fontId="9" fillId="3" borderId="14" xfId="0" applyNumberFormat="1" applyFont="1" applyFill="1" applyBorder="1" applyAlignment="1">
      <alignment horizontal="center"/>
    </xf>
    <xf numFmtId="3" fontId="11" fillId="3" borderId="0" xfId="0" applyNumberFormat="1" applyFont="1" applyFill="1" applyAlignment="1" applyProtection="1">
      <alignment horizontal="center" vertical="center"/>
      <protection locked="0"/>
    </xf>
    <xf numFmtId="3" fontId="37" fillId="3" borderId="0" xfId="0" applyNumberFormat="1" applyFont="1" applyFill="1" applyAlignment="1" applyProtection="1">
      <alignment horizontal="center" vertical="center"/>
      <protection locked="0"/>
    </xf>
    <xf numFmtId="0" fontId="11" fillId="3" borderId="0" xfId="0" applyFont="1" applyFill="1" applyAlignment="1">
      <alignment horizontal="center"/>
    </xf>
    <xf numFmtId="0" fontId="26" fillId="3" borderId="0" xfId="0" applyFont="1" applyFill="1" applyAlignment="1">
      <alignment horizontal="center"/>
    </xf>
    <xf numFmtId="3" fontId="11" fillId="3" borderId="0" xfId="0" applyNumberFormat="1" applyFont="1" applyFill="1" applyAlignment="1" applyProtection="1">
      <alignment horizontal="center" vertical="top"/>
      <protection locked="0"/>
    </xf>
    <xf numFmtId="3" fontId="37" fillId="3" borderId="0" xfId="0" applyNumberFormat="1" applyFont="1" applyFill="1" applyAlignment="1" applyProtection="1">
      <alignment horizontal="center" vertical="top"/>
      <protection locked="0"/>
    </xf>
    <xf numFmtId="0" fontId="11" fillId="3" borderId="0" xfId="0" applyFont="1" applyFill="1" applyAlignment="1">
      <alignment horizontal="center" vertical="top"/>
    </xf>
    <xf numFmtId="0" fontId="26" fillId="3" borderId="0" xfId="0" applyFont="1" applyFill="1" applyAlignment="1">
      <alignment horizontal="center" vertical="top"/>
    </xf>
    <xf numFmtId="0" fontId="13" fillId="3" borderId="0" xfId="0" applyFont="1" applyFill="1" applyAlignment="1">
      <alignment horizontal="center"/>
    </xf>
    <xf numFmtId="0" fontId="5" fillId="2" borderId="14" xfId="0" applyFont="1" applyFill="1" applyBorder="1" applyAlignment="1">
      <alignment horizontal="left" wrapText="1"/>
    </xf>
    <xf numFmtId="0" fontId="5" fillId="2" borderId="14" xfId="0" applyFont="1" applyFill="1" applyBorder="1" applyAlignment="1">
      <alignment horizontal="right" wrapText="1"/>
    </xf>
    <xf numFmtId="171" fontId="24" fillId="0" borderId="0" xfId="0" applyNumberFormat="1" applyFont="1" applyAlignment="1">
      <alignment horizontal="right" vertical="top"/>
    </xf>
    <xf numFmtId="171" fontId="24" fillId="0" borderId="14" xfId="0" applyNumberFormat="1" applyFont="1" applyBorder="1" applyAlignment="1">
      <alignment horizontal="right" vertical="top"/>
    </xf>
    <xf numFmtId="171" fontId="24" fillId="0" borderId="12" xfId="0" applyNumberFormat="1" applyFont="1" applyBorder="1" applyAlignment="1">
      <alignment horizontal="right" vertical="top"/>
    </xf>
    <xf numFmtId="171" fontId="24" fillId="0" borderId="1" xfId="0" applyNumberFormat="1" applyFont="1" applyBorder="1" applyAlignment="1">
      <alignment horizontal="right" vertical="top"/>
    </xf>
    <xf numFmtId="0" fontId="24" fillId="3" borderId="12" xfId="0" applyFont="1" applyFill="1" applyBorder="1" applyAlignment="1">
      <alignment horizontal="left" vertical="top" wrapText="1"/>
    </xf>
    <xf numFmtId="0" fontId="8" fillId="3" borderId="12" xfId="0" applyFont="1" applyFill="1" applyBorder="1" applyAlignment="1">
      <alignment horizontal="left" vertical="top"/>
    </xf>
    <xf numFmtId="0" fontId="7" fillId="3" borderId="0" xfId="0" applyFont="1" applyFill="1" applyAlignment="1">
      <alignment horizontal="left" vertical="top" wrapText="1"/>
    </xf>
    <xf numFmtId="0" fontId="7" fillId="3" borderId="0" xfId="0" quotePrefix="1" applyFont="1" applyFill="1" applyAlignment="1">
      <alignment horizontal="right" vertical="top" wrapText="1"/>
    </xf>
    <xf numFmtId="0" fontId="28" fillId="3" borderId="0" xfId="0" applyFont="1" applyFill="1" applyAlignment="1">
      <alignment horizontal="left" vertical="top" wrapText="1"/>
    </xf>
    <xf numFmtId="0" fontId="6" fillId="3" borderId="0" xfId="0" applyFont="1" applyFill="1" applyAlignment="1">
      <alignment horizontal="left" vertical="top" wrapText="1"/>
    </xf>
    <xf numFmtId="0" fontId="8" fillId="3" borderId="12" xfId="0" applyFont="1" applyFill="1" applyBorder="1" applyAlignment="1">
      <alignment horizontal="left" vertical="top" wrapText="1"/>
    </xf>
    <xf numFmtId="0" fontId="11" fillId="3" borderId="0" xfId="0" applyFont="1" applyFill="1" applyAlignment="1">
      <alignment horizontal="left" vertical="top" wrapText="1"/>
    </xf>
    <xf numFmtId="0" fontId="4" fillId="3" borderId="0" xfId="0" applyFont="1" applyFill="1" applyAlignment="1">
      <alignment horizontal="left" vertical="top" wrapText="1"/>
    </xf>
    <xf numFmtId="0" fontId="11" fillId="3" borderId="0" xfId="0" applyFont="1" applyFill="1" applyAlignment="1" applyProtection="1">
      <alignment horizontal="left" vertical="top" wrapText="1"/>
      <protection locked="0"/>
    </xf>
    <xf numFmtId="0" fontId="4" fillId="2" borderId="0" xfId="0" applyFont="1" applyFill="1" applyAlignment="1">
      <alignment horizontal="left" vertical="top" wrapText="1"/>
    </xf>
    <xf numFmtId="0" fontId="2" fillId="2" borderId="12" xfId="0" applyFont="1" applyFill="1" applyBorder="1" applyAlignment="1">
      <alignment horizontal="left" vertical="top" wrapText="1"/>
    </xf>
    <xf numFmtId="0" fontId="8" fillId="2" borderId="12" xfId="0" applyFont="1" applyFill="1" applyBorder="1" applyAlignment="1">
      <alignment horizontal="left" vertical="top" wrapText="1"/>
    </xf>
    <xf numFmtId="0" fontId="26" fillId="3" borderId="0" xfId="0" applyFont="1" applyFill="1" applyAlignment="1">
      <alignment horizontal="left" vertical="top" wrapText="1"/>
    </xf>
    <xf numFmtId="0" fontId="26" fillId="3" borderId="0" xfId="0" applyFont="1" applyFill="1" applyAlignment="1">
      <alignment horizontal="left" vertical="top"/>
    </xf>
    <xf numFmtId="0" fontId="8" fillId="3" borderId="12" xfId="0" applyFont="1" applyFill="1" applyBorder="1" applyAlignment="1">
      <alignment horizontal="left" wrapText="1"/>
    </xf>
    <xf numFmtId="0" fontId="2" fillId="2" borderId="12" xfId="0" applyFont="1" applyFill="1" applyBorder="1" applyAlignment="1">
      <alignment horizontal="left" wrapText="1"/>
    </xf>
    <xf numFmtId="167" fontId="7" fillId="0" borderId="1" xfId="0" applyNumberFormat="1" applyFont="1" applyBorder="1" applyAlignment="1">
      <alignment horizontal="left" vertical="top" wrapText="1"/>
    </xf>
    <xf numFmtId="167" fontId="7" fillId="0" borderId="12" xfId="0" applyNumberFormat="1" applyFont="1" applyBorder="1" applyAlignment="1">
      <alignment horizontal="left" vertical="top" wrapText="1"/>
    </xf>
    <xf numFmtId="3" fontId="9" fillId="3" borderId="0" xfId="0" applyNumberFormat="1" applyFont="1" applyFill="1" applyAlignment="1">
      <alignment horizontal="right" vertical="top"/>
    </xf>
  </cellXfs>
  <cellStyles count="16">
    <cellStyle name="Currency 2" xfId="1" xr:uid="{00000000-0005-0000-0000-000000000000}"/>
    <cellStyle name="Followed Hyperlink" xfId="13" builtinId="9" hidden="1"/>
    <cellStyle name="Followed Hyperlink" xfId="15" builtinId="9" hidden="1"/>
    <cellStyle name="Followed Hyperlink" xfId="9" builtinId="9" hidden="1"/>
    <cellStyle name="Followed Hyperlink" xfId="11" builtinId="9" hidden="1"/>
    <cellStyle name="Followed Hyperlink" xfId="7" builtinId="9" hidden="1"/>
    <cellStyle name="Followed Hyperlink" xfId="5" builtinId="9" hidden="1"/>
    <cellStyle name="Hyperlink" xfId="10" builtinId="8" hidden="1"/>
    <cellStyle name="Hyperlink" xfId="12" builtinId="8" hidden="1"/>
    <cellStyle name="Hyperlink" xfId="14" builtinId="8" hidden="1"/>
    <cellStyle name="Hyperlink" xfId="6" builtinId="8" hidden="1"/>
    <cellStyle name="Hyperlink" xfId="8" builtinId="8" hidden="1"/>
    <cellStyle name="Hyperlink" xfId="4" builtinId="8" hidden="1"/>
    <cellStyle name="Normal" xfId="0" builtinId="0"/>
    <cellStyle name="Percent" xfId="2" builtinId="5"/>
    <cellStyle name="Percent 2"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0"/>
  <sheetViews>
    <sheetView tabSelected="1" workbookViewId="0">
      <selection activeCell="B2" sqref="B2:L2"/>
    </sheetView>
  </sheetViews>
  <sheetFormatPr defaultColWidth="9.109375" defaultRowHeight="13.8" x14ac:dyDescent="0.3"/>
  <cols>
    <col min="1" max="2" width="9.109375" style="63"/>
    <col min="3" max="3" width="21.44140625" style="63" customWidth="1"/>
    <col min="4" max="10" width="9.109375" style="63"/>
    <col min="11" max="11" width="15.6640625" style="63" customWidth="1"/>
    <col min="12" max="12" width="9.109375" style="63"/>
    <col min="13" max="13" width="4.6640625" style="63" customWidth="1"/>
    <col min="14" max="14" width="14.6640625" style="63" customWidth="1"/>
    <col min="15" max="16384" width="9.109375" style="63"/>
  </cols>
  <sheetData>
    <row r="2" spans="2:17" ht="45" customHeight="1" x14ac:dyDescent="0.3">
      <c r="B2" s="299" t="s">
        <v>404</v>
      </c>
      <c r="C2" s="299"/>
      <c r="D2" s="299"/>
      <c r="E2" s="299"/>
      <c r="F2" s="299"/>
      <c r="G2" s="299"/>
      <c r="H2" s="299"/>
      <c r="I2" s="299"/>
      <c r="J2" s="299"/>
      <c r="K2" s="299"/>
      <c r="L2" s="299"/>
    </row>
    <row r="3" spans="2:17" ht="19.5" customHeight="1" x14ac:dyDescent="0.3">
      <c r="B3" s="69" t="s">
        <v>0</v>
      </c>
    </row>
    <row r="5" spans="2:17" x14ac:dyDescent="0.3">
      <c r="B5" s="75" t="s">
        <v>1</v>
      </c>
      <c r="C5" s="60"/>
      <c r="D5" s="60"/>
      <c r="E5" s="60"/>
      <c r="F5" s="60"/>
      <c r="G5" s="60"/>
      <c r="H5" s="60"/>
      <c r="I5" s="60"/>
      <c r="J5" s="60"/>
    </row>
    <row r="6" spans="2:17" ht="18.75" customHeight="1" x14ac:dyDescent="0.3">
      <c r="B6" s="91" t="s">
        <v>2</v>
      </c>
      <c r="C6" s="300" t="s">
        <v>3</v>
      </c>
      <c r="D6" s="300"/>
      <c r="E6" s="300"/>
      <c r="F6" s="300"/>
      <c r="G6" s="300"/>
      <c r="H6" s="300"/>
      <c r="I6" s="300"/>
      <c r="J6" s="300"/>
      <c r="K6" s="300"/>
    </row>
    <row r="7" spans="2:17" x14ac:dyDescent="0.3">
      <c r="B7" s="91" t="s">
        <v>4</v>
      </c>
      <c r="C7" s="60" t="s">
        <v>5</v>
      </c>
      <c r="D7" s="60"/>
      <c r="E7" s="60"/>
      <c r="F7" s="60"/>
      <c r="G7" s="60"/>
      <c r="H7" s="60"/>
      <c r="I7" s="60"/>
      <c r="J7" s="60"/>
    </row>
    <row r="8" spans="2:17" ht="48" customHeight="1" x14ac:dyDescent="0.3">
      <c r="B8" s="92" t="s">
        <v>6</v>
      </c>
      <c r="C8" s="297" t="s">
        <v>408</v>
      </c>
      <c r="D8" s="297"/>
      <c r="E8" s="297"/>
      <c r="F8" s="297"/>
      <c r="G8" s="297"/>
      <c r="H8" s="297"/>
      <c r="I8" s="297"/>
      <c r="J8" s="297"/>
      <c r="K8" s="297"/>
    </row>
    <row r="9" spans="2:17" ht="18.75" customHeight="1" x14ac:dyDescent="0.3">
      <c r="B9" s="92" t="s">
        <v>7</v>
      </c>
      <c r="C9" s="297" t="s">
        <v>366</v>
      </c>
      <c r="D9" s="297"/>
      <c r="E9" s="297"/>
      <c r="F9" s="297"/>
      <c r="G9" s="297"/>
      <c r="H9" s="297"/>
      <c r="I9" s="297"/>
      <c r="J9" s="297"/>
      <c r="K9" s="297"/>
    </row>
    <row r="10" spans="2:17" x14ac:dyDescent="0.3">
      <c r="C10" s="297"/>
      <c r="D10" s="297"/>
      <c r="E10" s="297"/>
      <c r="F10" s="297"/>
      <c r="G10" s="297"/>
      <c r="H10" s="297"/>
      <c r="I10" s="297"/>
      <c r="J10" s="297"/>
      <c r="K10" s="297"/>
    </row>
    <row r="11" spans="2:17" x14ac:dyDescent="0.3">
      <c r="C11" s="297"/>
      <c r="D11" s="297"/>
      <c r="E11" s="297"/>
      <c r="F11" s="297"/>
      <c r="G11" s="297"/>
      <c r="H11" s="297"/>
      <c r="I11" s="297"/>
      <c r="J11" s="297"/>
      <c r="K11" s="297"/>
    </row>
    <row r="13" spans="2:17" x14ac:dyDescent="0.3">
      <c r="B13" s="93" t="s">
        <v>8</v>
      </c>
      <c r="O13" s="185"/>
      <c r="P13" s="185"/>
    </row>
    <row r="14" spans="2:17" ht="32.4" customHeight="1" x14ac:dyDescent="0.3">
      <c r="B14" s="94" t="s">
        <v>2</v>
      </c>
      <c r="C14" s="297" t="s">
        <v>9</v>
      </c>
      <c r="D14" s="297"/>
      <c r="E14" s="297"/>
      <c r="F14" s="297"/>
      <c r="G14" s="297"/>
      <c r="H14" s="297"/>
      <c r="I14" s="297"/>
      <c r="J14" s="297"/>
      <c r="K14" s="297"/>
      <c r="O14" s="186"/>
      <c r="P14" s="186"/>
      <c r="Q14" s="186"/>
    </row>
    <row r="15" spans="2:17" ht="45" customHeight="1" x14ac:dyDescent="0.3">
      <c r="B15" s="94" t="s">
        <v>4</v>
      </c>
      <c r="C15" s="297" t="s">
        <v>367</v>
      </c>
      <c r="D15" s="297"/>
      <c r="E15" s="297"/>
      <c r="F15" s="297"/>
      <c r="G15" s="297"/>
      <c r="H15" s="297"/>
      <c r="I15" s="297"/>
      <c r="J15" s="297"/>
      <c r="K15" s="297"/>
      <c r="O15" s="186"/>
      <c r="P15" s="186"/>
      <c r="Q15" s="186"/>
    </row>
    <row r="16" spans="2:17" ht="31.2" customHeight="1" x14ac:dyDescent="0.3">
      <c r="B16" s="94" t="s">
        <v>6</v>
      </c>
      <c r="C16" s="297" t="s">
        <v>10</v>
      </c>
      <c r="D16" s="297"/>
      <c r="E16" s="297"/>
      <c r="F16" s="297"/>
      <c r="G16" s="297"/>
      <c r="H16" s="297"/>
      <c r="I16" s="297"/>
      <c r="J16" s="297"/>
      <c r="K16" s="297"/>
      <c r="O16" s="186"/>
      <c r="P16" s="186"/>
      <c r="Q16" s="186"/>
    </row>
    <row r="17" spans="1:17" ht="31.95" customHeight="1" x14ac:dyDescent="0.3">
      <c r="B17" s="94" t="s">
        <v>7</v>
      </c>
      <c r="C17" s="297" t="s">
        <v>11</v>
      </c>
      <c r="D17" s="297"/>
      <c r="E17" s="297"/>
      <c r="F17" s="297"/>
      <c r="G17" s="297"/>
      <c r="H17" s="297"/>
      <c r="I17" s="297"/>
      <c r="J17" s="297"/>
      <c r="K17" s="297"/>
      <c r="O17" s="186"/>
      <c r="P17" s="186"/>
      <c r="Q17" s="186"/>
    </row>
    <row r="18" spans="1:17" ht="20.7" customHeight="1" x14ac:dyDescent="0.3">
      <c r="B18" s="94" t="s">
        <v>12</v>
      </c>
      <c r="C18" s="297" t="s">
        <v>13</v>
      </c>
      <c r="D18" s="297"/>
      <c r="E18" s="297"/>
      <c r="F18" s="297"/>
      <c r="G18" s="297"/>
      <c r="H18" s="297"/>
      <c r="I18" s="297"/>
      <c r="J18" s="297"/>
      <c r="K18" s="297"/>
      <c r="O18" s="186"/>
      <c r="P18" s="186"/>
      <c r="Q18" s="186"/>
    </row>
    <row r="19" spans="1:17" ht="87.6" customHeight="1" x14ac:dyDescent="0.3">
      <c r="B19" s="94" t="s">
        <v>14</v>
      </c>
      <c r="C19" s="297" t="s">
        <v>15</v>
      </c>
      <c r="D19" s="297"/>
      <c r="E19" s="297"/>
      <c r="F19" s="297"/>
      <c r="G19" s="297"/>
      <c r="H19" s="297"/>
      <c r="I19" s="297"/>
      <c r="J19" s="297"/>
      <c r="K19" s="297"/>
      <c r="L19" s="187"/>
      <c r="O19" s="186"/>
      <c r="P19" s="186"/>
      <c r="Q19" s="186"/>
    </row>
    <row r="20" spans="1:17" ht="17.399999999999999" customHeight="1" x14ac:dyDescent="0.3">
      <c r="B20" s="92" t="s">
        <v>16</v>
      </c>
      <c r="C20" s="297" t="s">
        <v>17</v>
      </c>
      <c r="D20" s="297"/>
      <c r="E20" s="297"/>
      <c r="F20" s="297"/>
      <c r="G20" s="297"/>
      <c r="H20" s="297"/>
      <c r="I20" s="297"/>
      <c r="J20" s="297"/>
      <c r="K20" s="297"/>
      <c r="O20" s="186"/>
      <c r="P20" s="186"/>
      <c r="Q20" s="186"/>
    </row>
    <row r="21" spans="1:17" ht="21.6" customHeight="1" x14ac:dyDescent="0.3">
      <c r="B21" s="92" t="s">
        <v>18</v>
      </c>
      <c r="C21" s="297" t="s">
        <v>19</v>
      </c>
      <c r="D21" s="297"/>
      <c r="E21" s="297"/>
      <c r="F21" s="297"/>
      <c r="G21" s="297"/>
      <c r="H21" s="297"/>
      <c r="I21" s="297"/>
      <c r="J21" s="297"/>
      <c r="K21" s="297"/>
      <c r="O21" s="186"/>
      <c r="P21" s="186"/>
      <c r="Q21" s="186"/>
    </row>
    <row r="22" spans="1:17" ht="19.95" customHeight="1" x14ac:dyDescent="0.3">
      <c r="B22" s="94" t="s">
        <v>20</v>
      </c>
      <c r="C22" s="297" t="s">
        <v>21</v>
      </c>
      <c r="D22" s="297"/>
      <c r="E22" s="297"/>
      <c r="F22" s="297"/>
      <c r="G22" s="297"/>
      <c r="H22" s="297"/>
      <c r="I22" s="297"/>
      <c r="J22" s="297"/>
      <c r="K22" s="297"/>
      <c r="O22" s="186"/>
      <c r="P22" s="186"/>
      <c r="Q22" s="186"/>
    </row>
    <row r="23" spans="1:17" ht="21.45" customHeight="1" x14ac:dyDescent="0.3">
      <c r="B23" s="94" t="s">
        <v>22</v>
      </c>
      <c r="C23" s="297" t="s">
        <v>371</v>
      </c>
      <c r="D23" s="297"/>
      <c r="E23" s="297"/>
      <c r="F23" s="297"/>
      <c r="G23" s="297"/>
      <c r="H23" s="297"/>
      <c r="I23" s="297"/>
      <c r="J23" s="297"/>
      <c r="K23" s="297"/>
      <c r="L23" s="187"/>
      <c r="O23" s="186"/>
      <c r="P23" s="186"/>
      <c r="Q23" s="186"/>
    </row>
    <row r="24" spans="1:17" ht="18.75" customHeight="1" x14ac:dyDescent="0.3">
      <c r="B24" s="298" t="s">
        <v>23</v>
      </c>
      <c r="C24" s="297" t="s">
        <v>24</v>
      </c>
      <c r="D24" s="297"/>
      <c r="E24" s="297"/>
      <c r="F24" s="297"/>
      <c r="G24" s="297"/>
      <c r="H24" s="297"/>
      <c r="I24" s="297"/>
      <c r="J24" s="297"/>
      <c r="K24" s="297"/>
      <c r="O24" s="186"/>
      <c r="P24" s="186"/>
      <c r="Q24" s="186"/>
    </row>
    <row r="25" spans="1:17" x14ac:dyDescent="0.3">
      <c r="B25" s="298"/>
      <c r="C25" s="297"/>
      <c r="D25" s="297"/>
      <c r="E25" s="297"/>
      <c r="F25" s="297"/>
      <c r="G25" s="297"/>
      <c r="H25" s="297"/>
      <c r="I25" s="297"/>
      <c r="J25" s="297"/>
      <c r="K25" s="297"/>
      <c r="O25" s="186"/>
      <c r="P25" s="186"/>
      <c r="Q25" s="186"/>
    </row>
    <row r="26" spans="1:17" x14ac:dyDescent="0.3">
      <c r="B26" s="298"/>
      <c r="C26" s="297"/>
      <c r="D26" s="297"/>
      <c r="E26" s="297"/>
      <c r="F26" s="297"/>
      <c r="G26" s="297"/>
      <c r="H26" s="297"/>
      <c r="I26" s="297"/>
      <c r="J26" s="297"/>
      <c r="K26" s="297"/>
      <c r="O26" s="186"/>
      <c r="P26" s="186"/>
      <c r="Q26" s="186"/>
    </row>
    <row r="27" spans="1:17" ht="16.8" x14ac:dyDescent="0.3">
      <c r="B27" s="94" t="s">
        <v>25</v>
      </c>
      <c r="C27" s="60" t="s">
        <v>26</v>
      </c>
      <c r="D27" s="60"/>
      <c r="E27" s="60"/>
      <c r="F27" s="60"/>
      <c r="G27" s="60"/>
      <c r="H27" s="60"/>
      <c r="I27" s="60"/>
      <c r="J27" s="60"/>
      <c r="O27" s="186"/>
      <c r="P27" s="186"/>
      <c r="Q27" s="186"/>
    </row>
    <row r="28" spans="1:17" x14ac:dyDescent="0.3">
      <c r="B28" s="94"/>
      <c r="C28" s="60"/>
      <c r="D28" s="60"/>
      <c r="E28" s="60"/>
      <c r="F28" s="60"/>
      <c r="G28" s="60"/>
      <c r="H28" s="60"/>
      <c r="I28" s="60"/>
      <c r="J28" s="60"/>
      <c r="O28" s="186"/>
      <c r="P28" s="186"/>
      <c r="Q28" s="186"/>
    </row>
    <row r="29" spans="1:17" ht="20.399999999999999" x14ac:dyDescent="0.3">
      <c r="C29" s="296" t="s">
        <v>487</v>
      </c>
      <c r="D29" s="296"/>
      <c r="E29" s="296"/>
      <c r="F29" s="296"/>
      <c r="G29" s="296"/>
      <c r="H29" s="296"/>
      <c r="I29" s="296"/>
      <c r="J29" s="296"/>
      <c r="O29" s="186"/>
      <c r="P29" s="186"/>
      <c r="Q29" s="186"/>
    </row>
    <row r="30" spans="1:17" ht="17.399999999999999" x14ac:dyDescent="0.3">
      <c r="C30" s="170" t="s">
        <v>409</v>
      </c>
      <c r="D30" s="170" t="s">
        <v>101</v>
      </c>
      <c r="E30" s="170"/>
      <c r="F30" s="198"/>
      <c r="G30" s="198"/>
      <c r="H30" s="198"/>
      <c r="I30" s="198"/>
      <c r="J30" s="198"/>
      <c r="O30" s="186"/>
      <c r="P30" s="186"/>
      <c r="Q30" s="186"/>
    </row>
    <row r="31" spans="1:17" ht="15" customHeight="1" x14ac:dyDescent="0.3">
      <c r="A31" s="188"/>
      <c r="C31" s="34" t="s">
        <v>27</v>
      </c>
      <c r="D31" s="40" t="s">
        <v>28</v>
      </c>
      <c r="E31" s="28"/>
      <c r="F31" s="28"/>
      <c r="G31" s="28"/>
      <c r="H31" s="28"/>
      <c r="I31" s="28"/>
      <c r="J31" s="28"/>
      <c r="O31" s="186"/>
      <c r="P31" s="186"/>
      <c r="Q31" s="186"/>
    </row>
    <row r="32" spans="1:17" ht="15" customHeight="1" x14ac:dyDescent="0.25">
      <c r="C32" s="72" t="s">
        <v>29</v>
      </c>
      <c r="D32" s="41" t="s">
        <v>368</v>
      </c>
      <c r="E32" s="190"/>
      <c r="F32" s="190"/>
      <c r="G32" s="190"/>
      <c r="H32" s="190"/>
      <c r="I32" s="190"/>
      <c r="J32" s="190"/>
      <c r="O32" s="186"/>
      <c r="P32" s="186"/>
      <c r="Q32" s="186"/>
    </row>
    <row r="33" spans="3:17" ht="15" customHeight="1" x14ac:dyDescent="0.3">
      <c r="C33" s="72" t="s">
        <v>30</v>
      </c>
      <c r="D33" s="189" t="s">
        <v>31</v>
      </c>
      <c r="E33" s="190"/>
      <c r="F33" s="190"/>
      <c r="G33" s="190"/>
      <c r="H33" s="190"/>
      <c r="I33" s="190"/>
      <c r="J33" s="190"/>
      <c r="N33" s="186"/>
      <c r="O33" s="186"/>
      <c r="P33" s="186"/>
      <c r="Q33" s="186"/>
    </row>
    <row r="34" spans="3:17" ht="15" customHeight="1" x14ac:dyDescent="0.3">
      <c r="C34" s="72" t="s">
        <v>32</v>
      </c>
      <c r="D34" s="189" t="s">
        <v>33</v>
      </c>
      <c r="E34" s="190"/>
      <c r="F34" s="190"/>
      <c r="G34" s="190"/>
      <c r="H34" s="190"/>
      <c r="I34" s="190"/>
      <c r="J34" s="190"/>
    </row>
    <row r="35" spans="3:17" ht="15" customHeight="1" x14ac:dyDescent="0.3">
      <c r="C35" s="72" t="s">
        <v>34</v>
      </c>
      <c r="D35" s="189" t="s">
        <v>35</v>
      </c>
      <c r="E35" s="190"/>
      <c r="F35" s="190"/>
      <c r="G35" s="190"/>
      <c r="H35" s="190"/>
      <c r="I35" s="190"/>
      <c r="J35" s="190"/>
    </row>
    <row r="36" spans="3:17" ht="15" customHeight="1" x14ac:dyDescent="0.3">
      <c r="C36" s="72" t="s">
        <v>36</v>
      </c>
      <c r="D36" s="189" t="s">
        <v>37</v>
      </c>
      <c r="E36" s="190"/>
      <c r="F36" s="190"/>
      <c r="G36" s="190"/>
      <c r="H36" s="190"/>
      <c r="I36" s="190"/>
      <c r="J36" s="190"/>
    </row>
    <row r="37" spans="3:17" ht="15" customHeight="1" x14ac:dyDescent="0.25">
      <c r="C37" s="72" t="s">
        <v>38</v>
      </c>
      <c r="D37" s="41" t="s">
        <v>370</v>
      </c>
      <c r="E37" s="190"/>
      <c r="F37" s="190"/>
      <c r="G37" s="190"/>
      <c r="H37" s="190"/>
      <c r="I37" s="190"/>
      <c r="J37" s="190"/>
    </row>
    <row r="38" spans="3:17" ht="18" customHeight="1" x14ac:dyDescent="0.3">
      <c r="C38" s="148" t="s">
        <v>39</v>
      </c>
      <c r="D38" s="295" t="s">
        <v>369</v>
      </c>
      <c r="E38" s="295"/>
      <c r="F38" s="295"/>
      <c r="G38" s="295"/>
      <c r="H38" s="295"/>
      <c r="I38" s="295"/>
      <c r="J38" s="295"/>
    </row>
    <row r="39" spans="3:17" ht="10.199999999999999" customHeight="1" x14ac:dyDescent="0.3">
      <c r="C39" s="60"/>
      <c r="D39" s="60"/>
      <c r="E39" s="60"/>
      <c r="F39" s="60"/>
      <c r="G39" s="60"/>
      <c r="H39" s="60"/>
      <c r="I39" s="60"/>
      <c r="J39" s="60"/>
      <c r="O39" s="186"/>
      <c r="P39" s="186"/>
      <c r="Q39" s="186"/>
    </row>
    <row r="40" spans="3:17" x14ac:dyDescent="0.3">
      <c r="C40" s="95"/>
      <c r="D40" s="95"/>
      <c r="E40" s="95"/>
      <c r="F40" s="95"/>
      <c r="G40" s="95"/>
      <c r="H40" s="95"/>
      <c r="I40" s="95"/>
      <c r="J40" s="95"/>
      <c r="K40" s="95"/>
    </row>
  </sheetData>
  <mergeCells count="18">
    <mergeCell ref="B24:B26"/>
    <mergeCell ref="B2:L2"/>
    <mergeCell ref="C6:K6"/>
    <mergeCell ref="C16:K16"/>
    <mergeCell ref="C15:K15"/>
    <mergeCell ref="C17:K17"/>
    <mergeCell ref="C8:K8"/>
    <mergeCell ref="C24:K26"/>
    <mergeCell ref="C19:K19"/>
    <mergeCell ref="D38:J38"/>
    <mergeCell ref="C29:J29"/>
    <mergeCell ref="C9:K11"/>
    <mergeCell ref="C14:K14"/>
    <mergeCell ref="C18:K18"/>
    <mergeCell ref="C22:K22"/>
    <mergeCell ref="C23:K23"/>
    <mergeCell ref="C20:K20"/>
    <mergeCell ref="C21:K21"/>
  </mergeCells>
  <phoneticPr fontId="17" type="noConversion"/>
  <pageMargins left="0.7" right="0.7" top="0.75" bottom="0.75" header="0.3" footer="0.3"/>
  <pageSetup scale="72" orientation="portrait" r:id="rId1"/>
  <ignoredErrors>
    <ignoredError sqref="B6:B9 B12:B18 B19 B27 B20:B26"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29"/>
  <sheetViews>
    <sheetView topLeftCell="B1" workbookViewId="0">
      <selection activeCell="B2" sqref="B2:H2"/>
    </sheetView>
  </sheetViews>
  <sheetFormatPr defaultColWidth="23.109375" defaultRowHeight="15.6" x14ac:dyDescent="0.3"/>
  <cols>
    <col min="1" max="1" width="9.109375" style="27" customWidth="1"/>
    <col min="2" max="2" width="31.33203125" style="8" customWidth="1"/>
    <col min="3" max="3" width="16.44140625" style="288" customWidth="1"/>
    <col min="4" max="4" width="14.44140625" style="288" customWidth="1"/>
    <col min="5" max="5" width="17.21875" style="288" customWidth="1"/>
    <col min="6" max="6" width="12.44140625" style="288" customWidth="1"/>
    <col min="7" max="7" width="15.77734375" style="288" customWidth="1"/>
    <col min="8" max="8" width="16.6640625" style="288" customWidth="1"/>
    <col min="9" max="9" width="4.44140625" style="14" customWidth="1"/>
    <col min="10" max="248" width="9.109375" style="27" customWidth="1"/>
    <col min="249" max="249" width="25" style="27" customWidth="1"/>
    <col min="250" max="16384" width="23.109375" style="27"/>
  </cols>
  <sheetData>
    <row r="2" spans="2:8" ht="22.2" customHeight="1" x14ac:dyDescent="0.3">
      <c r="B2" s="301" t="s">
        <v>478</v>
      </c>
      <c r="C2" s="301"/>
      <c r="D2" s="301"/>
      <c r="E2" s="301"/>
      <c r="F2" s="301"/>
      <c r="G2" s="301"/>
      <c r="H2" s="301"/>
    </row>
    <row r="3" spans="2:8" ht="50.4" customHeight="1" x14ac:dyDescent="0.3">
      <c r="B3" s="228" t="s">
        <v>479</v>
      </c>
      <c r="C3" s="263" t="s">
        <v>480</v>
      </c>
      <c r="D3" s="197" t="s">
        <v>211</v>
      </c>
      <c r="E3" s="264" t="s">
        <v>481</v>
      </c>
      <c r="F3" s="197" t="s">
        <v>214</v>
      </c>
      <c r="G3" s="197" t="s">
        <v>212</v>
      </c>
      <c r="H3" s="265" t="s">
        <v>213</v>
      </c>
    </row>
    <row r="4" spans="2:8" x14ac:dyDescent="0.3">
      <c r="B4" s="15" t="s">
        <v>215</v>
      </c>
      <c r="C4" s="268">
        <f>'App2. Mach Etc Req'!F4</f>
        <v>150000</v>
      </c>
      <c r="D4" s="269">
        <v>30</v>
      </c>
      <c r="E4" s="270">
        <v>0</v>
      </c>
      <c r="F4" s="20">
        <f>E4*C4</f>
        <v>0</v>
      </c>
      <c r="G4" s="271">
        <f t="shared" ref="G4:G19" si="0">(C4-F4)/D4</f>
        <v>5000</v>
      </c>
      <c r="H4" s="272">
        <f>G4/'App9. Data for tables'!$H$80</f>
        <v>16.666666666666668</v>
      </c>
    </row>
    <row r="5" spans="2:8" ht="17.399999999999999" x14ac:dyDescent="0.3">
      <c r="B5" s="15" t="s">
        <v>216</v>
      </c>
      <c r="C5" s="20">
        <f>'App2. Mach Etc Req'!F5</f>
        <v>150000</v>
      </c>
      <c r="D5" s="269">
        <v>30</v>
      </c>
      <c r="E5" s="270">
        <v>0</v>
      </c>
      <c r="F5" s="20">
        <f t="shared" ref="F5:F19" si="1">E5*C5</f>
        <v>0</v>
      </c>
      <c r="G5" s="271">
        <f t="shared" si="0"/>
        <v>5000</v>
      </c>
      <c r="H5" s="272">
        <f>G5/'App9. Data for tables'!$H$80</f>
        <v>16.666666666666668</v>
      </c>
    </row>
    <row r="6" spans="2:8" x14ac:dyDescent="0.3">
      <c r="B6" s="15" t="s">
        <v>107</v>
      </c>
      <c r="C6" s="20">
        <f>'App2. Mach Etc Req'!F6</f>
        <v>250000</v>
      </c>
      <c r="D6" s="269">
        <v>10</v>
      </c>
      <c r="E6" s="270">
        <v>0.1</v>
      </c>
      <c r="F6" s="20">
        <f t="shared" si="1"/>
        <v>25000</v>
      </c>
      <c r="G6" s="271">
        <f t="shared" si="0"/>
        <v>22500</v>
      </c>
      <c r="H6" s="272">
        <f>G6/'App9. Data for tables'!$H$80</f>
        <v>75</v>
      </c>
    </row>
    <row r="7" spans="2:8" x14ac:dyDescent="0.3">
      <c r="B7" s="15" t="s">
        <v>109</v>
      </c>
      <c r="C7" s="20">
        <f>'App2. Mach Etc Req'!F7</f>
        <v>55000</v>
      </c>
      <c r="D7" s="269">
        <v>10</v>
      </c>
      <c r="E7" s="270">
        <v>0.1</v>
      </c>
      <c r="F7" s="20">
        <f t="shared" si="1"/>
        <v>5500</v>
      </c>
      <c r="G7" s="271">
        <f t="shared" si="0"/>
        <v>4950</v>
      </c>
      <c r="H7" s="272">
        <f>G7/'App9. Data for tables'!$H$80</f>
        <v>16.5</v>
      </c>
    </row>
    <row r="8" spans="2:8" x14ac:dyDescent="0.3">
      <c r="B8" s="15" t="s">
        <v>217</v>
      </c>
      <c r="C8" s="20">
        <f>'App2. Mach Etc Req'!F8</f>
        <v>24000</v>
      </c>
      <c r="D8" s="269">
        <v>5</v>
      </c>
      <c r="E8" s="270">
        <v>0.1</v>
      </c>
      <c r="F8" s="20">
        <f t="shared" si="1"/>
        <v>2400</v>
      </c>
      <c r="G8" s="271">
        <f t="shared" si="0"/>
        <v>4320</v>
      </c>
      <c r="H8" s="272">
        <f>G8/'App9. Data for tables'!$H$80</f>
        <v>14.4</v>
      </c>
    </row>
    <row r="9" spans="2:8" x14ac:dyDescent="0.3">
      <c r="B9" s="15" t="s">
        <v>218</v>
      </c>
      <c r="C9" s="20">
        <f>'App2. Mach Etc Req'!F9</f>
        <v>150000</v>
      </c>
      <c r="D9" s="269">
        <v>10</v>
      </c>
      <c r="E9" s="270">
        <v>0.1</v>
      </c>
      <c r="F9" s="20">
        <f t="shared" si="1"/>
        <v>15000</v>
      </c>
      <c r="G9" s="271">
        <f t="shared" si="0"/>
        <v>13500</v>
      </c>
      <c r="H9" s="272">
        <f>G9/'App9. Data for tables'!$H$80</f>
        <v>45</v>
      </c>
    </row>
    <row r="10" spans="2:8" x14ac:dyDescent="0.3">
      <c r="B10" s="15" t="s">
        <v>219</v>
      </c>
      <c r="C10" s="20">
        <f>'App2. Mach Etc Req'!F10</f>
        <v>7000</v>
      </c>
      <c r="D10" s="269">
        <v>10</v>
      </c>
      <c r="E10" s="270">
        <v>0.1</v>
      </c>
      <c r="F10" s="20">
        <f t="shared" si="1"/>
        <v>700</v>
      </c>
      <c r="G10" s="271">
        <f t="shared" si="0"/>
        <v>630</v>
      </c>
      <c r="H10" s="272">
        <f>G10/'App9. Data for tables'!$H$80</f>
        <v>2.1</v>
      </c>
    </row>
    <row r="11" spans="2:8" x14ac:dyDescent="0.3">
      <c r="B11" s="15" t="s">
        <v>220</v>
      </c>
      <c r="C11" s="20">
        <f>'App2. Mach Etc Req'!F11</f>
        <v>7500</v>
      </c>
      <c r="D11" s="269">
        <v>10</v>
      </c>
      <c r="E11" s="270">
        <v>0.1</v>
      </c>
      <c r="F11" s="20">
        <f t="shared" si="1"/>
        <v>750</v>
      </c>
      <c r="G11" s="271">
        <f t="shared" si="0"/>
        <v>675</v>
      </c>
      <c r="H11" s="272">
        <f>G11/'App9. Data for tables'!$H$80</f>
        <v>2.25</v>
      </c>
    </row>
    <row r="12" spans="2:8" x14ac:dyDescent="0.3">
      <c r="B12" s="15" t="s">
        <v>221</v>
      </c>
      <c r="C12" s="20">
        <f>'App2. Mach Etc Req'!F12</f>
        <v>9000</v>
      </c>
      <c r="D12" s="269">
        <v>10</v>
      </c>
      <c r="E12" s="270">
        <v>0.1</v>
      </c>
      <c r="F12" s="20">
        <f t="shared" si="1"/>
        <v>900</v>
      </c>
      <c r="G12" s="271">
        <f t="shared" si="0"/>
        <v>810</v>
      </c>
      <c r="H12" s="272">
        <f>G12/'App9. Data for tables'!$H$80</f>
        <v>2.7</v>
      </c>
    </row>
    <row r="13" spans="2:8" x14ac:dyDescent="0.3">
      <c r="B13" s="15" t="s">
        <v>222</v>
      </c>
      <c r="C13" s="20">
        <f>'App2. Mach Etc Req'!F13</f>
        <v>60000</v>
      </c>
      <c r="D13" s="269">
        <v>10</v>
      </c>
      <c r="E13" s="270">
        <v>0.1</v>
      </c>
      <c r="F13" s="20">
        <f t="shared" si="1"/>
        <v>6000</v>
      </c>
      <c r="G13" s="271">
        <f t="shared" si="0"/>
        <v>5400</v>
      </c>
      <c r="H13" s="272">
        <f>G13/'App9. Data for tables'!$H$80</f>
        <v>18</v>
      </c>
    </row>
    <row r="14" spans="2:8" x14ac:dyDescent="0.3">
      <c r="B14" s="22" t="s">
        <v>223</v>
      </c>
      <c r="C14" s="20">
        <f>'App2. Mach Etc Req'!F14</f>
        <v>22500</v>
      </c>
      <c r="D14" s="269">
        <v>10</v>
      </c>
      <c r="E14" s="270">
        <v>0.1</v>
      </c>
      <c r="F14" s="20">
        <f t="shared" si="1"/>
        <v>2250</v>
      </c>
      <c r="G14" s="271">
        <f t="shared" si="0"/>
        <v>2025</v>
      </c>
      <c r="H14" s="272">
        <f>G14/'App9. Data for tables'!$H$80</f>
        <v>6.75</v>
      </c>
    </row>
    <row r="15" spans="2:8" x14ac:dyDescent="0.3">
      <c r="B15" s="22" t="s">
        <v>224</v>
      </c>
      <c r="C15" s="20">
        <f>'App2. Mach Etc Req'!F15</f>
        <v>45000</v>
      </c>
      <c r="D15" s="269">
        <v>10</v>
      </c>
      <c r="E15" s="270">
        <v>0.1</v>
      </c>
      <c r="F15" s="20">
        <f t="shared" si="1"/>
        <v>4500</v>
      </c>
      <c r="G15" s="271">
        <f t="shared" si="0"/>
        <v>4050</v>
      </c>
      <c r="H15" s="272">
        <f>G15/'App9. Data for tables'!$H$80</f>
        <v>13.5</v>
      </c>
    </row>
    <row r="16" spans="2:8" x14ac:dyDescent="0.3">
      <c r="B16" s="22" t="s">
        <v>225</v>
      </c>
      <c r="C16" s="20">
        <f>'App2. Mach Etc Req'!F16</f>
        <v>13000</v>
      </c>
      <c r="D16" s="269">
        <v>10</v>
      </c>
      <c r="E16" s="270">
        <v>0.1</v>
      </c>
      <c r="F16" s="20">
        <f t="shared" si="1"/>
        <v>1300</v>
      </c>
      <c r="G16" s="271">
        <f t="shared" si="0"/>
        <v>1170</v>
      </c>
      <c r="H16" s="272">
        <f>G16/'App9. Data for tables'!$H$80</f>
        <v>3.9</v>
      </c>
    </row>
    <row r="17" spans="2:9" x14ac:dyDescent="0.3">
      <c r="B17" s="22" t="s">
        <v>124</v>
      </c>
      <c r="C17" s="20">
        <f>'App2. Mach Etc Req'!F17</f>
        <v>180000</v>
      </c>
      <c r="D17" s="269">
        <v>10</v>
      </c>
      <c r="E17" s="270">
        <v>0.1</v>
      </c>
      <c r="F17" s="20">
        <f t="shared" si="1"/>
        <v>18000</v>
      </c>
      <c r="G17" s="271">
        <f t="shared" si="0"/>
        <v>16200</v>
      </c>
      <c r="H17" s="272">
        <f>G17/'App9. Data for tables'!$H$80</f>
        <v>54</v>
      </c>
    </row>
    <row r="18" spans="2:9" ht="17.399999999999999" x14ac:dyDescent="0.3">
      <c r="B18" s="22" t="s">
        <v>226</v>
      </c>
      <c r="C18" s="20">
        <f>'App2. Mach Etc Req'!F18</f>
        <v>50000</v>
      </c>
      <c r="D18" s="269">
        <v>10</v>
      </c>
      <c r="E18" s="270">
        <v>0.1</v>
      </c>
      <c r="F18" s="20">
        <f t="shared" si="1"/>
        <v>5000</v>
      </c>
      <c r="G18" s="271">
        <f t="shared" si="0"/>
        <v>4500</v>
      </c>
      <c r="H18" s="272">
        <f>G18/'App9. Data for tables'!$H$80</f>
        <v>15</v>
      </c>
    </row>
    <row r="19" spans="2:9" ht="17.399999999999999" x14ac:dyDescent="0.3">
      <c r="B19" s="22" t="s">
        <v>227</v>
      </c>
      <c r="C19" s="273">
        <f>'App2. Mach Etc Req'!F19</f>
        <v>15000</v>
      </c>
      <c r="D19" s="274">
        <v>10</v>
      </c>
      <c r="E19" s="270">
        <v>0.1</v>
      </c>
      <c r="F19" s="273">
        <f t="shared" si="1"/>
        <v>1500</v>
      </c>
      <c r="G19" s="275">
        <f t="shared" si="0"/>
        <v>1350</v>
      </c>
      <c r="H19" s="276">
        <f>G19/'App9. Data for tables'!$H$80</f>
        <v>4.5</v>
      </c>
    </row>
    <row r="20" spans="2:9" x14ac:dyDescent="0.3">
      <c r="B20" s="170" t="s">
        <v>228</v>
      </c>
      <c r="C20" s="277">
        <f>SUM(C4:C19)</f>
        <v>1188000</v>
      </c>
      <c r="D20" s="266" t="s">
        <v>455</v>
      </c>
      <c r="E20" s="267" t="s">
        <v>455</v>
      </c>
      <c r="F20" s="277">
        <f>SUM(F4:F19)</f>
        <v>88800</v>
      </c>
      <c r="G20" s="278">
        <f>SUM(G4:G19)</f>
        <v>92080</v>
      </c>
      <c r="H20" s="279">
        <f>G20/'App9. Data for tables'!$H$80</f>
        <v>306.93333333333334</v>
      </c>
    </row>
    <row r="21" spans="2:9" x14ac:dyDescent="0.3">
      <c r="B21" s="12" t="s">
        <v>127</v>
      </c>
      <c r="C21" s="280"/>
      <c r="D21" s="280"/>
      <c r="E21" s="281"/>
      <c r="F21" s="281"/>
      <c r="G21" s="282"/>
      <c r="H21" s="283"/>
    </row>
    <row r="22" spans="2:9" s="68" customFormat="1" x14ac:dyDescent="0.3">
      <c r="B22" s="43" t="s">
        <v>229</v>
      </c>
      <c r="C22" s="284"/>
      <c r="D22" s="284"/>
      <c r="E22" s="285"/>
      <c r="F22" s="285"/>
      <c r="G22" s="286"/>
      <c r="H22" s="287"/>
      <c r="I22" s="63"/>
    </row>
    <row r="23" spans="2:9" s="68" customFormat="1" ht="28.2" customHeight="1" x14ac:dyDescent="0.3">
      <c r="B23" s="302" t="s">
        <v>230</v>
      </c>
      <c r="C23" s="302"/>
      <c r="D23" s="302"/>
      <c r="E23" s="302"/>
      <c r="F23" s="302"/>
      <c r="G23" s="302"/>
      <c r="H23" s="302"/>
      <c r="I23" s="63"/>
    </row>
    <row r="24" spans="2:9" s="68" customFormat="1" x14ac:dyDescent="0.3">
      <c r="B24" s="43" t="s">
        <v>231</v>
      </c>
      <c r="C24" s="284"/>
      <c r="D24" s="284"/>
      <c r="E24" s="285"/>
      <c r="F24" s="285"/>
      <c r="G24" s="286"/>
      <c r="H24" s="287"/>
      <c r="I24" s="63"/>
    </row>
    <row r="25" spans="2:9" s="68" customFormat="1" x14ac:dyDescent="0.3">
      <c r="B25" s="43" t="s">
        <v>232</v>
      </c>
      <c r="C25" s="284"/>
      <c r="D25" s="284"/>
      <c r="E25" s="285"/>
      <c r="F25" s="285"/>
      <c r="G25" s="286"/>
      <c r="H25" s="287"/>
      <c r="I25" s="63"/>
    </row>
    <row r="26" spans="2:9" s="68" customFormat="1" x14ac:dyDescent="0.3">
      <c r="B26" s="67" t="s">
        <v>233</v>
      </c>
      <c r="C26" s="284"/>
      <c r="D26" s="284"/>
      <c r="E26" s="285"/>
      <c r="F26" s="285"/>
      <c r="G26" s="286"/>
      <c r="H26" s="287"/>
      <c r="I26" s="63"/>
    </row>
    <row r="27" spans="2:9" s="68" customFormat="1" ht="32.700000000000003" customHeight="1" x14ac:dyDescent="0.3">
      <c r="B27" s="302" t="s">
        <v>234</v>
      </c>
      <c r="C27" s="302"/>
      <c r="D27" s="302"/>
      <c r="E27" s="302"/>
      <c r="F27" s="302"/>
      <c r="G27" s="302"/>
      <c r="H27" s="302"/>
      <c r="I27" s="63"/>
    </row>
    <row r="28" spans="2:9" s="68" customFormat="1" x14ac:dyDescent="0.3">
      <c r="B28" s="43" t="s">
        <v>235</v>
      </c>
      <c r="C28" s="284"/>
      <c r="D28" s="284"/>
      <c r="E28" s="285"/>
      <c r="F28" s="285"/>
      <c r="G28" s="286"/>
      <c r="H28" s="287"/>
      <c r="I28" s="63"/>
    </row>
    <row r="29" spans="2:9" s="68" customFormat="1" x14ac:dyDescent="0.3">
      <c r="B29" s="67" t="s">
        <v>236</v>
      </c>
      <c r="C29" s="71"/>
      <c r="D29" s="71"/>
      <c r="E29" s="71"/>
      <c r="F29" s="71"/>
      <c r="G29" s="71"/>
      <c r="H29" s="71"/>
      <c r="I29" s="70"/>
    </row>
  </sheetData>
  <protectedRanges>
    <protectedRange sqref="D4:E19" name="Range"/>
  </protectedRanges>
  <mergeCells count="3">
    <mergeCell ref="B2:H2"/>
    <mergeCell ref="B27:H27"/>
    <mergeCell ref="B23:H23"/>
  </mergeCells>
  <pageMargins left="0.7" right="0.7" top="0.75" bottom="0.75" header="0.3" footer="0.3"/>
  <ignoredErrors>
    <ignoredError sqref="F9:F20 C4:C8 F4:F8 C9:C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9"/>
  <sheetViews>
    <sheetView workbookViewId="0">
      <selection activeCell="B2" sqref="B2:C2"/>
    </sheetView>
  </sheetViews>
  <sheetFormatPr defaultColWidth="9.109375" defaultRowHeight="13.8" x14ac:dyDescent="0.25"/>
  <cols>
    <col min="1" max="1" width="6.6640625" style="2" customWidth="1"/>
    <col min="2" max="2" width="30.44140625" style="2" bestFit="1" customWidth="1"/>
    <col min="3" max="3" width="14" style="2" customWidth="1"/>
    <col min="4" max="16384" width="9.109375" style="2"/>
  </cols>
  <sheetData>
    <row r="2" spans="2:4" ht="44.25" customHeight="1" x14ac:dyDescent="0.3">
      <c r="B2" s="311" t="s">
        <v>482</v>
      </c>
      <c r="C2" s="311"/>
      <c r="D2" s="6"/>
    </row>
    <row r="3" spans="2:4" s="6" customFormat="1" ht="21" customHeight="1" x14ac:dyDescent="0.25">
      <c r="B3" s="289" t="s">
        <v>483</v>
      </c>
      <c r="C3" s="290" t="s">
        <v>484</v>
      </c>
    </row>
    <row r="4" spans="2:4" x14ac:dyDescent="0.25">
      <c r="B4" s="6" t="s">
        <v>237</v>
      </c>
      <c r="C4" s="21">
        <f>'Cosmic Crisp-Spindle Budget'!H59</f>
        <v>63544.781374278544</v>
      </c>
      <c r="D4" s="6"/>
    </row>
    <row r="5" spans="2:4" ht="16.8" x14ac:dyDescent="0.25">
      <c r="B5" s="6" t="s">
        <v>238</v>
      </c>
      <c r="C5" s="26">
        <f>20-5</f>
        <v>15</v>
      </c>
      <c r="D5" s="171"/>
    </row>
    <row r="6" spans="2:4" x14ac:dyDescent="0.25">
      <c r="B6" s="6" t="s">
        <v>147</v>
      </c>
      <c r="C6" s="53">
        <f>'App9. Data for tables'!$H$74</f>
        <v>0.05</v>
      </c>
      <c r="D6" s="6"/>
    </row>
    <row r="7" spans="2:4" x14ac:dyDescent="0.25">
      <c r="B7" s="6"/>
      <c r="C7" s="172"/>
      <c r="D7" s="6"/>
    </row>
    <row r="8" spans="2:4" x14ac:dyDescent="0.25">
      <c r="B8" s="173" t="s">
        <v>239</v>
      </c>
      <c r="C8" s="174">
        <f>IF(C5=0," ",PMT(C6,C5,C4))</f>
        <v>-6122.0496032272986</v>
      </c>
      <c r="D8" s="6"/>
    </row>
    <row r="9" spans="2:4" x14ac:dyDescent="0.25">
      <c r="B9" s="7" t="s">
        <v>240</v>
      </c>
      <c r="C9" s="6"/>
      <c r="D9" s="6"/>
    </row>
  </sheetData>
  <protectedRanges>
    <protectedRange sqref="C5:C6" name="Range1"/>
  </protectedRanges>
  <mergeCells count="1">
    <mergeCell ref="B2:C2"/>
  </mergeCells>
  <phoneticPr fontId="17" type="noConversion"/>
  <pageMargins left="0.7" right="0.7" top="0.75" bottom="0.75" header="0.3" footer="0.3"/>
  <ignoredErrors>
    <ignoredError sqref="C5:C6"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6"/>
  <sheetViews>
    <sheetView zoomScaleNormal="100" workbookViewId="0"/>
  </sheetViews>
  <sheetFormatPr defaultColWidth="8.6640625" defaultRowHeight="14.4" x14ac:dyDescent="0.3"/>
  <cols>
    <col min="1" max="1" width="22.6640625" style="103" customWidth="1"/>
    <col min="2" max="2" width="45.6640625" style="103" customWidth="1"/>
    <col min="3" max="3" width="11.6640625" style="118" customWidth="1"/>
    <col min="4" max="4" width="9.6640625" style="118" customWidth="1"/>
    <col min="5" max="6" width="10.33203125" style="118" customWidth="1"/>
    <col min="7" max="7" width="12.109375" style="118" customWidth="1"/>
    <col min="8" max="8" width="16.6640625" style="118" customWidth="1"/>
    <col min="9" max="9" width="66" style="103" customWidth="1"/>
    <col min="10" max="10" width="15.33203125" customWidth="1"/>
    <col min="11" max="11" width="16.44140625" style="103" customWidth="1"/>
    <col min="13" max="16384" width="8.6640625" style="103"/>
  </cols>
  <sheetData>
    <row r="1" spans="1:11" ht="20.399999999999999" x14ac:dyDescent="0.3">
      <c r="A1" s="175" t="s">
        <v>485</v>
      </c>
      <c r="B1" s="175"/>
      <c r="C1" s="176"/>
      <c r="D1" s="176"/>
      <c r="E1" s="176"/>
      <c r="F1" s="176"/>
      <c r="G1" s="176"/>
      <c r="H1" s="176"/>
      <c r="I1" s="101"/>
      <c r="K1" s="102"/>
    </row>
    <row r="2" spans="1:11" ht="27.6" x14ac:dyDescent="0.3">
      <c r="A2" s="116" t="s">
        <v>486</v>
      </c>
      <c r="B2" s="177" t="s">
        <v>101</v>
      </c>
      <c r="C2" s="178" t="s">
        <v>161</v>
      </c>
      <c r="D2" s="178" t="s">
        <v>41</v>
      </c>
      <c r="E2" s="178" t="s">
        <v>42</v>
      </c>
      <c r="F2" s="178" t="s">
        <v>43</v>
      </c>
      <c r="G2" s="178" t="s">
        <v>44</v>
      </c>
      <c r="H2" s="179" t="s">
        <v>241</v>
      </c>
      <c r="I2" s="104" t="s">
        <v>242</v>
      </c>
      <c r="K2" s="105"/>
    </row>
    <row r="3" spans="1:11" x14ac:dyDescent="0.3">
      <c r="A3" s="106" t="s">
        <v>243</v>
      </c>
      <c r="B3" s="107" t="s">
        <v>244</v>
      </c>
      <c r="C3" s="291">
        <v>0</v>
      </c>
      <c r="D3" s="291">
        <v>0</v>
      </c>
      <c r="E3" s="291">
        <v>0</v>
      </c>
      <c r="F3" s="109">
        <v>35</v>
      </c>
      <c r="G3" s="109">
        <f>$F$3</f>
        <v>35</v>
      </c>
      <c r="H3" s="109">
        <f>$F$3</f>
        <v>35</v>
      </c>
      <c r="I3" s="110" t="s">
        <v>245</v>
      </c>
      <c r="K3" s="105"/>
    </row>
    <row r="4" spans="1:11" ht="18" customHeight="1" x14ac:dyDescent="0.3">
      <c r="A4" s="111" t="s">
        <v>243</v>
      </c>
      <c r="B4" s="107" t="s">
        <v>246</v>
      </c>
      <c r="C4" s="291">
        <v>0</v>
      </c>
      <c r="D4" s="291">
        <v>0</v>
      </c>
      <c r="E4" s="291">
        <v>0</v>
      </c>
      <c r="F4" s="109">
        <f>+F3*F64</f>
        <v>647.5</v>
      </c>
      <c r="G4" s="109">
        <f>+G3*G64</f>
        <v>647.5</v>
      </c>
      <c r="H4" s="109">
        <f>+H3*H64</f>
        <v>647.5</v>
      </c>
      <c r="I4" s="112"/>
    </row>
    <row r="5" spans="1:11" ht="18" customHeight="1" x14ac:dyDescent="0.3">
      <c r="A5" s="111" t="s">
        <v>247</v>
      </c>
      <c r="B5" s="113" t="s">
        <v>248</v>
      </c>
      <c r="C5" s="291">
        <v>0</v>
      </c>
      <c r="D5" s="291">
        <v>0</v>
      </c>
      <c r="E5" s="291">
        <v>0</v>
      </c>
      <c r="F5" s="114">
        <v>44833</v>
      </c>
      <c r="G5" s="114">
        <v>58283</v>
      </c>
      <c r="H5" s="114">
        <v>71733</v>
      </c>
      <c r="I5" s="112" t="s">
        <v>249</v>
      </c>
    </row>
    <row r="6" spans="1:11" ht="18" customHeight="1" x14ac:dyDescent="0.3">
      <c r="A6" s="111" t="s">
        <v>247</v>
      </c>
      <c r="B6" s="104" t="s">
        <v>250</v>
      </c>
      <c r="C6" s="291">
        <v>0</v>
      </c>
      <c r="D6" s="291">
        <v>0</v>
      </c>
      <c r="E6" s="291">
        <v>0</v>
      </c>
      <c r="F6" s="114">
        <f t="shared" ref="F6:H6" si="0">F5/2000</f>
        <v>22.416499999999999</v>
      </c>
      <c r="G6" s="114">
        <f t="shared" si="0"/>
        <v>29.141500000000001</v>
      </c>
      <c r="H6" s="114">
        <f t="shared" si="0"/>
        <v>35.866500000000002</v>
      </c>
      <c r="I6" s="112" t="s">
        <v>251</v>
      </c>
      <c r="K6" s="105"/>
    </row>
    <row r="7" spans="1:11" ht="18" customHeight="1" x14ac:dyDescent="0.3">
      <c r="A7" s="120" t="s">
        <v>247</v>
      </c>
      <c r="B7" s="121" t="s">
        <v>252</v>
      </c>
      <c r="C7" s="291">
        <v>0</v>
      </c>
      <c r="D7" s="291">
        <v>0</v>
      </c>
      <c r="E7" s="291">
        <v>0</v>
      </c>
      <c r="F7" s="123">
        <f>ROUND((F$5/F$63),0)</f>
        <v>48</v>
      </c>
      <c r="G7" s="123">
        <f>ROUND((G$5/G$63),0)</f>
        <v>63</v>
      </c>
      <c r="H7" s="123">
        <f>ROUND((H$5/H$63),0)</f>
        <v>78</v>
      </c>
      <c r="I7" s="115" t="s">
        <v>253</v>
      </c>
    </row>
    <row r="8" spans="1:11" ht="27.6" x14ac:dyDescent="0.3">
      <c r="A8" s="116" t="s">
        <v>140</v>
      </c>
      <c r="B8" s="177" t="s">
        <v>254</v>
      </c>
      <c r="C8" s="127">
        <v>20000</v>
      </c>
      <c r="D8" s="292">
        <v>0</v>
      </c>
      <c r="E8" s="292">
        <v>0</v>
      </c>
      <c r="F8" s="292">
        <v>0</v>
      </c>
      <c r="G8" s="292">
        <v>0</v>
      </c>
      <c r="H8" s="292">
        <v>0</v>
      </c>
      <c r="I8" s="180" t="s">
        <v>255</v>
      </c>
    </row>
    <row r="9" spans="1:11" x14ac:dyDescent="0.3">
      <c r="A9" s="117" t="s">
        <v>256</v>
      </c>
      <c r="B9" s="104" t="s">
        <v>257</v>
      </c>
      <c r="C9" s="109">
        <v>12</v>
      </c>
      <c r="D9" s="291">
        <v>0</v>
      </c>
      <c r="E9" s="291">
        <v>0</v>
      </c>
      <c r="F9" s="291">
        <v>0</v>
      </c>
      <c r="G9" s="291">
        <v>0</v>
      </c>
      <c r="H9" s="291">
        <v>0</v>
      </c>
      <c r="I9" s="104"/>
    </row>
    <row r="10" spans="1:11" x14ac:dyDescent="0.3">
      <c r="A10" s="117" t="s">
        <v>256</v>
      </c>
      <c r="B10" s="104" t="s">
        <v>258</v>
      </c>
      <c r="C10" s="109">
        <v>1000</v>
      </c>
      <c r="D10" s="291">
        <v>0</v>
      </c>
      <c r="E10" s="291">
        <v>0</v>
      </c>
      <c r="F10" s="291">
        <v>0</v>
      </c>
      <c r="G10" s="291">
        <v>0</v>
      </c>
      <c r="H10" s="291">
        <v>0</v>
      </c>
      <c r="I10" s="104"/>
    </row>
    <row r="11" spans="1:11" x14ac:dyDescent="0.3">
      <c r="A11" s="117" t="s">
        <v>256</v>
      </c>
      <c r="B11" s="104" t="s">
        <v>259</v>
      </c>
      <c r="C11" s="109">
        <v>180</v>
      </c>
      <c r="D11" s="291">
        <v>0</v>
      </c>
      <c r="E11" s="291">
        <v>0</v>
      </c>
      <c r="F11" s="291">
        <v>0</v>
      </c>
      <c r="G11" s="291">
        <v>0</v>
      </c>
      <c r="H11" s="291">
        <v>0</v>
      </c>
      <c r="I11" s="104"/>
    </row>
    <row r="12" spans="1:11" ht="18.75" customHeight="1" x14ac:dyDescent="0.3">
      <c r="A12" s="117" t="s">
        <v>256</v>
      </c>
      <c r="B12" s="104" t="s">
        <v>260</v>
      </c>
      <c r="C12" s="109">
        <v>300</v>
      </c>
      <c r="D12" s="291">
        <v>0</v>
      </c>
      <c r="E12" s="291">
        <v>0</v>
      </c>
      <c r="F12" s="291">
        <v>0</v>
      </c>
      <c r="G12" s="291">
        <v>0</v>
      </c>
      <c r="H12" s="291">
        <v>0</v>
      </c>
      <c r="I12" s="104" t="s">
        <v>261</v>
      </c>
    </row>
    <row r="13" spans="1:11" ht="18.75" customHeight="1" x14ac:dyDescent="0.3">
      <c r="A13" s="117" t="s">
        <v>256</v>
      </c>
      <c r="B13" s="104" t="s">
        <v>262</v>
      </c>
      <c r="C13" s="119">
        <v>1</v>
      </c>
      <c r="D13" s="291">
        <v>0</v>
      </c>
      <c r="E13" s="291">
        <v>0</v>
      </c>
      <c r="F13" s="291">
        <v>0</v>
      </c>
      <c r="G13" s="291">
        <v>0</v>
      </c>
      <c r="H13" s="291">
        <v>0</v>
      </c>
      <c r="I13" s="104"/>
    </row>
    <row r="14" spans="1:11" ht="18.75" customHeight="1" x14ac:dyDescent="0.3">
      <c r="A14" s="117" t="s">
        <v>256</v>
      </c>
      <c r="B14" s="104" t="s">
        <v>263</v>
      </c>
      <c r="C14" s="109">
        <f>$C$83</f>
        <v>27.79</v>
      </c>
      <c r="D14" s="291">
        <v>0</v>
      </c>
      <c r="E14" s="291">
        <v>0</v>
      </c>
      <c r="F14" s="291">
        <v>0</v>
      </c>
      <c r="G14" s="291">
        <v>0</v>
      </c>
      <c r="H14" s="291">
        <v>0</v>
      </c>
      <c r="I14" s="104"/>
    </row>
    <row r="15" spans="1:11" ht="18.75" customHeight="1" x14ac:dyDescent="0.3">
      <c r="A15" s="120" t="s">
        <v>256</v>
      </c>
      <c r="B15" s="121" t="s">
        <v>264</v>
      </c>
      <c r="C15" s="122">
        <v>1750</v>
      </c>
      <c r="D15" s="293">
        <v>0</v>
      </c>
      <c r="E15" s="293">
        <v>0</v>
      </c>
      <c r="F15" s="293">
        <v>0</v>
      </c>
      <c r="G15" s="293">
        <v>0</v>
      </c>
      <c r="H15" s="293">
        <v>0</v>
      </c>
      <c r="I15" s="121" t="s">
        <v>265</v>
      </c>
    </row>
    <row r="16" spans="1:11" x14ac:dyDescent="0.3">
      <c r="A16" s="117" t="s">
        <v>266</v>
      </c>
      <c r="B16" s="104" t="s">
        <v>267</v>
      </c>
      <c r="C16" s="114">
        <f>$C$79</f>
        <v>1452</v>
      </c>
      <c r="D16" s="294">
        <v>0</v>
      </c>
      <c r="E16" s="294">
        <v>0</v>
      </c>
      <c r="F16" s="294">
        <v>0</v>
      </c>
      <c r="G16" s="294">
        <v>0</v>
      </c>
      <c r="H16" s="294">
        <v>0</v>
      </c>
      <c r="I16" s="104"/>
    </row>
    <row r="17" spans="1:11" ht="27.6" x14ac:dyDescent="0.3">
      <c r="A17" s="117" t="s">
        <v>266</v>
      </c>
      <c r="B17" s="104" t="s">
        <v>268</v>
      </c>
      <c r="C17" s="109">
        <f>10.51+1</f>
        <v>11.51</v>
      </c>
      <c r="D17" s="291">
        <v>0</v>
      </c>
      <c r="E17" s="291">
        <v>0</v>
      </c>
      <c r="F17" s="291">
        <v>0</v>
      </c>
      <c r="G17" s="291">
        <v>0</v>
      </c>
      <c r="H17" s="291">
        <v>0</v>
      </c>
      <c r="I17" s="124" t="s">
        <v>269</v>
      </c>
    </row>
    <row r="18" spans="1:11" x14ac:dyDescent="0.3">
      <c r="A18" s="117" t="s">
        <v>266</v>
      </c>
      <c r="B18" s="104" t="s">
        <v>270</v>
      </c>
      <c r="C18" s="119">
        <v>0.02</v>
      </c>
      <c r="D18" s="291">
        <v>0</v>
      </c>
      <c r="E18" s="291">
        <v>0</v>
      </c>
      <c r="F18" s="291">
        <v>0</v>
      </c>
      <c r="G18" s="291">
        <v>0</v>
      </c>
      <c r="H18" s="291">
        <v>0</v>
      </c>
      <c r="I18" s="104"/>
    </row>
    <row r="19" spans="1:11" x14ac:dyDescent="0.3">
      <c r="A19" s="120" t="s">
        <v>266</v>
      </c>
      <c r="B19" s="121" t="s">
        <v>271</v>
      </c>
      <c r="C19" s="122">
        <f>$C$81</f>
        <v>23.75</v>
      </c>
      <c r="D19" s="293">
        <v>0</v>
      </c>
      <c r="E19" s="293">
        <v>0</v>
      </c>
      <c r="F19" s="293">
        <v>0</v>
      </c>
      <c r="G19" s="293">
        <v>0</v>
      </c>
      <c r="H19" s="293">
        <v>0</v>
      </c>
      <c r="I19" s="121"/>
    </row>
    <row r="20" spans="1:11" x14ac:dyDescent="0.3">
      <c r="A20" s="125" t="s">
        <v>69</v>
      </c>
      <c r="B20" s="126" t="s">
        <v>272</v>
      </c>
      <c r="C20" s="127">
        <v>8330</v>
      </c>
      <c r="D20" s="293">
        <v>0</v>
      </c>
      <c r="E20" s="293">
        <v>0</v>
      </c>
      <c r="F20" s="293">
        <v>0</v>
      </c>
      <c r="G20" s="293">
        <v>0</v>
      </c>
      <c r="H20" s="293">
        <v>0</v>
      </c>
      <c r="I20" s="128"/>
      <c r="K20" s="105"/>
    </row>
    <row r="21" spans="1:11" x14ac:dyDescent="0.3">
      <c r="A21" s="125" t="s">
        <v>273</v>
      </c>
      <c r="B21" s="104" t="s">
        <v>274</v>
      </c>
      <c r="C21" s="291">
        <v>0</v>
      </c>
      <c r="D21" s="291">
        <v>0</v>
      </c>
      <c r="E21" s="291">
        <v>0</v>
      </c>
      <c r="F21" s="109">
        <v>10000</v>
      </c>
      <c r="G21" s="294">
        <v>0</v>
      </c>
      <c r="H21" s="294">
        <v>0</v>
      </c>
      <c r="I21" s="312"/>
      <c r="K21" s="105"/>
    </row>
    <row r="22" spans="1:11" x14ac:dyDescent="0.3">
      <c r="A22" s="120" t="s">
        <v>273</v>
      </c>
      <c r="B22" s="104" t="s">
        <v>275</v>
      </c>
      <c r="C22" s="291">
        <v>0</v>
      </c>
      <c r="D22" s="293">
        <v>0</v>
      </c>
      <c r="E22" s="293">
        <v>0</v>
      </c>
      <c r="F22" s="109">
        <v>150</v>
      </c>
      <c r="G22" s="109">
        <v>150</v>
      </c>
      <c r="H22" s="109">
        <v>150</v>
      </c>
      <c r="I22" s="313"/>
      <c r="K22" s="105"/>
    </row>
    <row r="23" spans="1:11" x14ac:dyDescent="0.3">
      <c r="A23" s="125" t="s">
        <v>276</v>
      </c>
      <c r="B23" s="131" t="s">
        <v>277</v>
      </c>
      <c r="C23" s="132">
        <v>3800</v>
      </c>
      <c r="D23" s="291">
        <v>0</v>
      </c>
      <c r="E23" s="291">
        <v>0</v>
      </c>
      <c r="F23" s="291">
        <v>0</v>
      </c>
      <c r="G23" s="291">
        <v>0</v>
      </c>
      <c r="H23" s="291">
        <v>0</v>
      </c>
      <c r="I23" s="133" t="s">
        <v>278</v>
      </c>
      <c r="K23" s="133"/>
    </row>
    <row r="24" spans="1:11" x14ac:dyDescent="0.3">
      <c r="A24" s="120" t="s">
        <v>276</v>
      </c>
      <c r="B24" s="121" t="s">
        <v>279</v>
      </c>
      <c r="C24" s="122">
        <v>1000</v>
      </c>
      <c r="D24" s="293">
        <v>0</v>
      </c>
      <c r="E24" s="293">
        <v>0</v>
      </c>
      <c r="F24" s="293">
        <v>0</v>
      </c>
      <c r="G24" s="293">
        <v>0</v>
      </c>
      <c r="H24" s="293">
        <v>0</v>
      </c>
      <c r="I24" s="134"/>
      <c r="K24" s="133"/>
    </row>
    <row r="25" spans="1:11" x14ac:dyDescent="0.3">
      <c r="A25" s="104" t="s">
        <v>67</v>
      </c>
      <c r="B25" s="135" t="s">
        <v>280</v>
      </c>
      <c r="C25" s="109">
        <v>600</v>
      </c>
      <c r="D25" s="291">
        <v>0</v>
      </c>
      <c r="E25" s="291">
        <v>0</v>
      </c>
      <c r="F25" s="291">
        <v>0</v>
      </c>
      <c r="G25" s="291">
        <v>0</v>
      </c>
      <c r="H25" s="291">
        <v>0</v>
      </c>
      <c r="I25" s="133"/>
      <c r="K25" s="105"/>
    </row>
    <row r="26" spans="1:11" x14ac:dyDescent="0.3">
      <c r="A26" s="121" t="s">
        <v>67</v>
      </c>
      <c r="B26" s="138" t="s">
        <v>281</v>
      </c>
      <c r="C26" s="122">
        <v>300</v>
      </c>
      <c r="D26" s="291">
        <v>0</v>
      </c>
      <c r="E26" s="291">
        <v>0</v>
      </c>
      <c r="F26" s="291">
        <v>0</v>
      </c>
      <c r="G26" s="291">
        <v>0</v>
      </c>
      <c r="H26" s="291">
        <v>0</v>
      </c>
      <c r="I26" s="134"/>
      <c r="K26" s="105"/>
    </row>
    <row r="27" spans="1:11" ht="19.95" customHeight="1" x14ac:dyDescent="0.3">
      <c r="A27" s="177" t="s">
        <v>68</v>
      </c>
      <c r="B27" s="126" t="s">
        <v>282</v>
      </c>
      <c r="C27" s="127">
        <v>3000</v>
      </c>
      <c r="D27" s="293">
        <v>0</v>
      </c>
      <c r="E27" s="293">
        <v>0</v>
      </c>
      <c r="F27" s="293">
        <v>0</v>
      </c>
      <c r="G27" s="293">
        <v>0</v>
      </c>
      <c r="H27" s="293">
        <v>0</v>
      </c>
      <c r="I27" s="128" t="s">
        <v>283</v>
      </c>
      <c r="K27" s="133"/>
    </row>
    <row r="28" spans="1:11" x14ac:dyDescent="0.3">
      <c r="A28" s="125" t="s">
        <v>284</v>
      </c>
      <c r="B28" s="135" t="s">
        <v>285</v>
      </c>
      <c r="C28" s="136">
        <v>12</v>
      </c>
      <c r="D28" s="136">
        <v>9</v>
      </c>
      <c r="E28" s="136">
        <v>10</v>
      </c>
      <c r="F28" s="136">
        <v>15</v>
      </c>
      <c r="G28" s="136">
        <v>32</v>
      </c>
      <c r="H28" s="136">
        <v>45</v>
      </c>
      <c r="I28" s="104"/>
      <c r="K28" s="137"/>
    </row>
    <row r="29" spans="1:11" x14ac:dyDescent="0.3">
      <c r="A29" s="117" t="s">
        <v>284</v>
      </c>
      <c r="B29" s="138" t="s">
        <v>271</v>
      </c>
      <c r="C29" s="122">
        <f>C$81</f>
        <v>23.75</v>
      </c>
      <c r="D29" s="122">
        <f t="shared" ref="D29:H33" si="1">D$81</f>
        <v>23.75</v>
      </c>
      <c r="E29" s="122">
        <f t="shared" si="1"/>
        <v>23.75</v>
      </c>
      <c r="F29" s="122">
        <f t="shared" si="1"/>
        <v>23.75</v>
      </c>
      <c r="G29" s="122">
        <f t="shared" si="1"/>
        <v>23.75</v>
      </c>
      <c r="H29" s="122">
        <f t="shared" si="1"/>
        <v>23.75</v>
      </c>
      <c r="I29" s="134"/>
      <c r="K29" s="137"/>
    </row>
    <row r="30" spans="1:11" x14ac:dyDescent="0.3">
      <c r="A30" s="117" t="s">
        <v>284</v>
      </c>
      <c r="B30" s="104" t="s">
        <v>286</v>
      </c>
      <c r="C30" s="108">
        <v>40</v>
      </c>
      <c r="D30" s="108">
        <v>42</v>
      </c>
      <c r="E30" s="108">
        <v>42</v>
      </c>
      <c r="F30" s="108">
        <v>10</v>
      </c>
      <c r="G30" s="108">
        <v>5</v>
      </c>
      <c r="H30" s="108">
        <v>0</v>
      </c>
      <c r="I30" s="104"/>
      <c r="K30" s="137"/>
    </row>
    <row r="31" spans="1:11" x14ac:dyDescent="0.3">
      <c r="A31" s="120" t="s">
        <v>284</v>
      </c>
      <c r="B31" s="121" t="s">
        <v>271</v>
      </c>
      <c r="C31" s="122">
        <f>C$81</f>
        <v>23.75</v>
      </c>
      <c r="D31" s="122">
        <f t="shared" si="1"/>
        <v>23.75</v>
      </c>
      <c r="E31" s="122">
        <f t="shared" si="1"/>
        <v>23.75</v>
      </c>
      <c r="F31" s="122">
        <f t="shared" si="1"/>
        <v>23.75</v>
      </c>
      <c r="G31" s="122">
        <f t="shared" si="1"/>
        <v>23.75</v>
      </c>
      <c r="H31" s="122">
        <f t="shared" si="1"/>
        <v>23.75</v>
      </c>
      <c r="I31" s="134"/>
      <c r="K31" s="137"/>
    </row>
    <row r="32" spans="1:11" x14ac:dyDescent="0.3">
      <c r="A32" s="117" t="s">
        <v>287</v>
      </c>
      <c r="B32" s="104" t="s">
        <v>288</v>
      </c>
      <c r="C32" s="108">
        <v>0</v>
      </c>
      <c r="D32" s="108">
        <v>0</v>
      </c>
      <c r="E32" s="108">
        <v>0</v>
      </c>
      <c r="F32" s="108">
        <v>0</v>
      </c>
      <c r="G32" s="108">
        <v>0</v>
      </c>
      <c r="H32" s="108">
        <v>0</v>
      </c>
      <c r="I32" s="124" t="s">
        <v>289</v>
      </c>
    </row>
    <row r="33" spans="1:11" x14ac:dyDescent="0.3">
      <c r="A33" s="117" t="s">
        <v>287</v>
      </c>
      <c r="B33" s="104" t="s">
        <v>271</v>
      </c>
      <c r="C33" s="109">
        <f>C$81</f>
        <v>23.75</v>
      </c>
      <c r="D33" s="109">
        <f t="shared" si="1"/>
        <v>23.75</v>
      </c>
      <c r="E33" s="109">
        <f t="shared" si="1"/>
        <v>23.75</v>
      </c>
      <c r="F33" s="109">
        <f t="shared" si="1"/>
        <v>23.75</v>
      </c>
      <c r="G33" s="109">
        <f t="shared" si="1"/>
        <v>23.75</v>
      </c>
      <c r="H33" s="109">
        <f t="shared" si="1"/>
        <v>23.75</v>
      </c>
      <c r="I33" s="133"/>
      <c r="K33" s="105"/>
    </row>
    <row r="34" spans="1:11" x14ac:dyDescent="0.3">
      <c r="A34" s="117" t="s">
        <v>287</v>
      </c>
      <c r="B34" s="104" t="s">
        <v>290</v>
      </c>
      <c r="C34" s="119">
        <v>0</v>
      </c>
      <c r="D34" s="119">
        <v>0</v>
      </c>
      <c r="E34" s="119">
        <v>0</v>
      </c>
      <c r="F34" s="119">
        <v>0</v>
      </c>
      <c r="G34" s="119">
        <v>0</v>
      </c>
      <c r="H34" s="119">
        <v>0</v>
      </c>
      <c r="I34" s="133" t="s">
        <v>291</v>
      </c>
      <c r="J34" s="119"/>
      <c r="K34" s="105"/>
    </row>
    <row r="35" spans="1:11" x14ac:dyDescent="0.3">
      <c r="A35" s="120" t="s">
        <v>287</v>
      </c>
      <c r="B35" s="104" t="s">
        <v>271</v>
      </c>
      <c r="C35" s="122">
        <f>C$83</f>
        <v>27.79</v>
      </c>
      <c r="D35" s="122">
        <f t="shared" ref="D35:H35" si="2">D$83</f>
        <v>27.79</v>
      </c>
      <c r="E35" s="122">
        <f t="shared" si="2"/>
        <v>27.79</v>
      </c>
      <c r="F35" s="122">
        <f t="shared" si="2"/>
        <v>27.79</v>
      </c>
      <c r="G35" s="122">
        <f t="shared" si="2"/>
        <v>27.79</v>
      </c>
      <c r="H35" s="122">
        <f t="shared" si="2"/>
        <v>27.79</v>
      </c>
      <c r="I35" s="134"/>
      <c r="K35" s="105"/>
    </row>
    <row r="36" spans="1:11" ht="36" customHeight="1" x14ac:dyDescent="0.3">
      <c r="A36" s="125" t="s">
        <v>292</v>
      </c>
      <c r="B36" s="131" t="s">
        <v>293</v>
      </c>
      <c r="C36" s="109">
        <v>160</v>
      </c>
      <c r="D36" s="109">
        <v>380</v>
      </c>
      <c r="E36" s="109">
        <v>1415</v>
      </c>
      <c r="F36" s="109">
        <v>1565</v>
      </c>
      <c r="G36" s="109">
        <v>1565</v>
      </c>
      <c r="H36" s="109">
        <v>1565</v>
      </c>
      <c r="I36" s="129" t="s">
        <v>294</v>
      </c>
      <c r="K36" s="137"/>
    </row>
    <row r="37" spans="1:11" x14ac:dyDescent="0.3">
      <c r="A37" s="117" t="s">
        <v>292</v>
      </c>
      <c r="B37" s="104" t="s">
        <v>295</v>
      </c>
      <c r="C37" s="119">
        <v>2</v>
      </c>
      <c r="D37" s="119">
        <v>4</v>
      </c>
      <c r="E37" s="119">
        <v>8</v>
      </c>
      <c r="F37" s="119">
        <v>8</v>
      </c>
      <c r="G37" s="119">
        <v>8</v>
      </c>
      <c r="H37" s="119">
        <v>8</v>
      </c>
      <c r="I37" s="112"/>
      <c r="K37" s="137"/>
    </row>
    <row r="38" spans="1:11" x14ac:dyDescent="0.3">
      <c r="A38" s="120" t="s">
        <v>292</v>
      </c>
      <c r="B38" s="121" t="s">
        <v>271</v>
      </c>
      <c r="C38" s="122">
        <f>C$83</f>
        <v>27.79</v>
      </c>
      <c r="D38" s="122">
        <f t="shared" ref="D38:G38" si="3">D$83</f>
        <v>27.79</v>
      </c>
      <c r="E38" s="122">
        <f t="shared" si="3"/>
        <v>27.79</v>
      </c>
      <c r="F38" s="122">
        <f t="shared" si="3"/>
        <v>27.79</v>
      </c>
      <c r="G38" s="122">
        <f t="shared" si="3"/>
        <v>27.79</v>
      </c>
      <c r="H38" s="122">
        <f>H$83</f>
        <v>27.79</v>
      </c>
      <c r="I38" s="130"/>
      <c r="K38" s="137"/>
    </row>
    <row r="39" spans="1:11" ht="18" customHeight="1" x14ac:dyDescent="0.3">
      <c r="A39" s="117" t="s">
        <v>296</v>
      </c>
      <c r="B39" s="104" t="s">
        <v>297</v>
      </c>
      <c r="C39" s="109">
        <v>100</v>
      </c>
      <c r="D39" s="109">
        <v>100</v>
      </c>
      <c r="E39" s="109">
        <v>220</v>
      </c>
      <c r="F39" s="109">
        <v>220</v>
      </c>
      <c r="G39" s="109">
        <v>295</v>
      </c>
      <c r="H39" s="109">
        <v>370</v>
      </c>
      <c r="I39" s="112" t="s">
        <v>298</v>
      </c>
      <c r="K39" s="137"/>
    </row>
    <row r="40" spans="1:11" ht="30.6" customHeight="1" x14ac:dyDescent="0.3">
      <c r="A40" s="117" t="s">
        <v>296</v>
      </c>
      <c r="B40" s="104" t="s">
        <v>299</v>
      </c>
      <c r="C40" s="108">
        <v>0</v>
      </c>
      <c r="D40" s="108">
        <v>1</v>
      </c>
      <c r="E40" s="108">
        <v>1</v>
      </c>
      <c r="F40" s="108">
        <v>1</v>
      </c>
      <c r="G40" s="108">
        <v>1</v>
      </c>
      <c r="H40" s="108">
        <v>1</v>
      </c>
      <c r="I40" s="124" t="s">
        <v>300</v>
      </c>
      <c r="K40" s="137"/>
    </row>
    <row r="41" spans="1:11" ht="18" customHeight="1" x14ac:dyDescent="0.3">
      <c r="A41" s="120" t="s">
        <v>296</v>
      </c>
      <c r="B41" s="121" t="s">
        <v>271</v>
      </c>
      <c r="C41" s="122">
        <f>C$82</f>
        <v>24.75</v>
      </c>
      <c r="D41" s="122">
        <f t="shared" ref="D41:H41" si="4">D$82</f>
        <v>24.75</v>
      </c>
      <c r="E41" s="122">
        <f t="shared" si="4"/>
        <v>24.75</v>
      </c>
      <c r="F41" s="122">
        <f t="shared" si="4"/>
        <v>24.75</v>
      </c>
      <c r="G41" s="122">
        <f t="shared" si="4"/>
        <v>24.75</v>
      </c>
      <c r="H41" s="122">
        <f t="shared" si="4"/>
        <v>24.75</v>
      </c>
      <c r="I41" s="134"/>
      <c r="K41" s="105"/>
    </row>
    <row r="42" spans="1:11" ht="18.75" customHeight="1" x14ac:dyDescent="0.3">
      <c r="A42" s="117" t="s">
        <v>301</v>
      </c>
      <c r="B42" s="104" t="s">
        <v>302</v>
      </c>
      <c r="C42" s="109">
        <v>170</v>
      </c>
      <c r="D42" s="109">
        <v>170</v>
      </c>
      <c r="E42" s="109">
        <v>170</v>
      </c>
      <c r="F42" s="109">
        <v>170</v>
      </c>
      <c r="G42" s="109">
        <v>170</v>
      </c>
      <c r="H42" s="109">
        <v>170</v>
      </c>
      <c r="I42" s="133"/>
      <c r="K42" s="105"/>
    </row>
    <row r="43" spans="1:11" ht="18.75" customHeight="1" x14ac:dyDescent="0.3">
      <c r="A43" s="117" t="s">
        <v>301</v>
      </c>
      <c r="B43" s="104" t="s">
        <v>303</v>
      </c>
      <c r="C43" s="109">
        <v>180</v>
      </c>
      <c r="D43" s="109">
        <v>180</v>
      </c>
      <c r="E43" s="109">
        <v>180</v>
      </c>
      <c r="F43" s="109">
        <v>195</v>
      </c>
      <c r="G43" s="109">
        <v>195</v>
      </c>
      <c r="H43" s="109">
        <v>195</v>
      </c>
      <c r="I43" s="133"/>
      <c r="K43" s="105"/>
    </row>
    <row r="44" spans="1:11" ht="18.75" customHeight="1" x14ac:dyDescent="0.3">
      <c r="A44" s="117" t="s">
        <v>304</v>
      </c>
      <c r="B44" s="104" t="s">
        <v>305</v>
      </c>
      <c r="C44" s="108">
        <v>13</v>
      </c>
      <c r="D44" s="108">
        <v>13</v>
      </c>
      <c r="E44" s="108">
        <v>13</v>
      </c>
      <c r="F44" s="108">
        <v>13</v>
      </c>
      <c r="G44" s="108">
        <v>13</v>
      </c>
      <c r="H44" s="108">
        <v>13</v>
      </c>
      <c r="I44" s="104"/>
    </row>
    <row r="45" spans="1:11" ht="18.75" customHeight="1" x14ac:dyDescent="0.3">
      <c r="A45" s="120" t="s">
        <v>301</v>
      </c>
      <c r="B45" s="121" t="s">
        <v>271</v>
      </c>
      <c r="C45" s="122">
        <f>C$83</f>
        <v>27.79</v>
      </c>
      <c r="D45" s="122">
        <f t="shared" ref="D45:H45" si="5">D$83</f>
        <v>27.79</v>
      </c>
      <c r="E45" s="122">
        <f t="shared" si="5"/>
        <v>27.79</v>
      </c>
      <c r="F45" s="122">
        <f t="shared" si="5"/>
        <v>27.79</v>
      </c>
      <c r="G45" s="122">
        <f t="shared" si="5"/>
        <v>27.79</v>
      </c>
      <c r="H45" s="122">
        <f t="shared" si="5"/>
        <v>27.79</v>
      </c>
      <c r="I45" s="134"/>
      <c r="K45" s="105"/>
    </row>
    <row r="46" spans="1:11" x14ac:dyDescent="0.3">
      <c r="A46" s="117" t="s">
        <v>306</v>
      </c>
      <c r="B46" s="104" t="s">
        <v>307</v>
      </c>
      <c r="C46" s="291">
        <v>0</v>
      </c>
      <c r="D46" s="291">
        <v>0</v>
      </c>
      <c r="E46" s="109">
        <v>65</v>
      </c>
      <c r="F46" s="109">
        <v>65</v>
      </c>
      <c r="G46" s="109">
        <v>65</v>
      </c>
      <c r="H46" s="109">
        <v>65</v>
      </c>
      <c r="I46" s="133"/>
      <c r="K46" s="105"/>
    </row>
    <row r="47" spans="1:11" x14ac:dyDescent="0.3">
      <c r="A47" s="120" t="s">
        <v>306</v>
      </c>
      <c r="B47" s="121" t="s">
        <v>308</v>
      </c>
      <c r="C47" s="293">
        <v>0</v>
      </c>
      <c r="D47" s="293">
        <v>0</v>
      </c>
      <c r="E47" s="123">
        <v>1</v>
      </c>
      <c r="F47" s="123">
        <v>1</v>
      </c>
      <c r="G47" s="123">
        <v>1</v>
      </c>
      <c r="H47" s="123">
        <v>1</v>
      </c>
      <c r="I47" s="121"/>
    </row>
    <row r="48" spans="1:11" ht="27.6" x14ac:dyDescent="0.3">
      <c r="A48" s="117" t="s">
        <v>309</v>
      </c>
      <c r="B48" s="124" t="s">
        <v>310</v>
      </c>
      <c r="C48" s="109">
        <v>4000</v>
      </c>
      <c r="D48" s="291">
        <v>0</v>
      </c>
      <c r="E48" s="291">
        <v>0</v>
      </c>
      <c r="F48" s="291">
        <v>0</v>
      </c>
      <c r="G48" s="291">
        <v>0</v>
      </c>
      <c r="H48" s="291">
        <v>0</v>
      </c>
      <c r="I48" s="124" t="s">
        <v>311</v>
      </c>
    </row>
    <row r="49" spans="1:11" x14ac:dyDescent="0.3">
      <c r="A49" s="117" t="s">
        <v>309</v>
      </c>
      <c r="B49" s="104" t="s">
        <v>312</v>
      </c>
      <c r="C49" s="139">
        <v>0.64</v>
      </c>
      <c r="D49" s="291">
        <v>0</v>
      </c>
      <c r="E49" s="291">
        <v>0</v>
      </c>
      <c r="F49" s="291">
        <v>0</v>
      </c>
      <c r="G49" s="291">
        <v>0</v>
      </c>
      <c r="H49" s="291">
        <v>0</v>
      </c>
      <c r="I49" s="140"/>
    </row>
    <row r="50" spans="1:11" x14ac:dyDescent="0.3">
      <c r="A50" s="117" t="s">
        <v>309</v>
      </c>
      <c r="B50" s="138" t="s">
        <v>271</v>
      </c>
      <c r="C50" s="122">
        <f>C$82</f>
        <v>24.75</v>
      </c>
      <c r="D50" s="293">
        <v>0</v>
      </c>
      <c r="E50" s="293">
        <v>0</v>
      </c>
      <c r="F50" s="293">
        <v>0</v>
      </c>
      <c r="G50" s="293">
        <v>0</v>
      </c>
      <c r="H50" s="293">
        <v>0</v>
      </c>
      <c r="I50" s="141"/>
      <c r="K50" s="105"/>
    </row>
    <row r="51" spans="1:11" ht="55.2" x14ac:dyDescent="0.3">
      <c r="A51" s="117" t="s">
        <v>309</v>
      </c>
      <c r="B51" s="104" t="s">
        <v>313</v>
      </c>
      <c r="C51" s="108">
        <v>0.4</v>
      </c>
      <c r="D51" s="108">
        <v>0.4</v>
      </c>
      <c r="E51" s="108">
        <v>0.4</v>
      </c>
      <c r="F51" s="108">
        <f>E51</f>
        <v>0.4</v>
      </c>
      <c r="G51" s="108">
        <f>F51</f>
        <v>0.4</v>
      </c>
      <c r="H51" s="108">
        <f>G51</f>
        <v>0.4</v>
      </c>
      <c r="I51" s="124" t="s">
        <v>314</v>
      </c>
    </row>
    <row r="52" spans="1:11" x14ac:dyDescent="0.3">
      <c r="A52" s="120" t="s">
        <v>309</v>
      </c>
      <c r="B52" s="121" t="s">
        <v>271</v>
      </c>
      <c r="C52" s="122">
        <f t="shared" ref="C52:D52" si="6">C$82</f>
        <v>24.75</v>
      </c>
      <c r="D52" s="122">
        <f t="shared" si="6"/>
        <v>24.75</v>
      </c>
      <c r="E52" s="122">
        <f>E$82</f>
        <v>24.75</v>
      </c>
      <c r="F52" s="122">
        <f t="shared" ref="F52:H52" si="7">F$82</f>
        <v>24.75</v>
      </c>
      <c r="G52" s="122">
        <f t="shared" si="7"/>
        <v>24.75</v>
      </c>
      <c r="H52" s="122">
        <f t="shared" si="7"/>
        <v>24.75</v>
      </c>
      <c r="I52" s="134"/>
      <c r="K52" s="105"/>
    </row>
    <row r="53" spans="1:11" ht="18.75" customHeight="1" x14ac:dyDescent="0.3">
      <c r="A53" s="117" t="s">
        <v>315</v>
      </c>
      <c r="B53" s="104" t="s">
        <v>316</v>
      </c>
      <c r="C53" s="109"/>
      <c r="D53" s="109"/>
      <c r="E53" s="109"/>
      <c r="F53" s="109">
        <v>20</v>
      </c>
      <c r="G53" s="109">
        <f>F53</f>
        <v>20</v>
      </c>
      <c r="H53" s="109">
        <f>G53</f>
        <v>20</v>
      </c>
      <c r="I53" s="133" t="s">
        <v>317</v>
      </c>
      <c r="K53" s="142"/>
    </row>
    <row r="54" spans="1:11" ht="18.75" customHeight="1" x14ac:dyDescent="0.3">
      <c r="A54" s="117" t="s">
        <v>315</v>
      </c>
      <c r="B54" s="104" t="s">
        <v>318</v>
      </c>
      <c r="C54" s="109">
        <v>30</v>
      </c>
      <c r="D54" s="109">
        <f>C54</f>
        <v>30</v>
      </c>
      <c r="E54" s="109">
        <f t="shared" ref="E54:H54" si="8">D54</f>
        <v>30</v>
      </c>
      <c r="F54" s="109">
        <f t="shared" si="8"/>
        <v>30</v>
      </c>
      <c r="G54" s="109">
        <f t="shared" si="8"/>
        <v>30</v>
      </c>
      <c r="H54" s="109">
        <f t="shared" si="8"/>
        <v>30</v>
      </c>
      <c r="I54" s="133"/>
      <c r="K54" s="142"/>
    </row>
    <row r="55" spans="1:11" ht="18.75" customHeight="1" x14ac:dyDescent="0.3">
      <c r="A55" s="117" t="s">
        <v>315</v>
      </c>
      <c r="B55" s="104" t="s">
        <v>319</v>
      </c>
      <c r="C55" s="109">
        <v>30</v>
      </c>
      <c r="D55" s="109">
        <f>C55</f>
        <v>30</v>
      </c>
      <c r="E55" s="109">
        <f t="shared" ref="E55:H55" si="9">D55</f>
        <v>30</v>
      </c>
      <c r="F55" s="109">
        <f t="shared" si="9"/>
        <v>30</v>
      </c>
      <c r="G55" s="109">
        <f t="shared" si="9"/>
        <v>30</v>
      </c>
      <c r="H55" s="109">
        <f t="shared" si="9"/>
        <v>30</v>
      </c>
      <c r="I55" s="133"/>
      <c r="K55" s="142"/>
    </row>
    <row r="56" spans="1:11" ht="18.75" customHeight="1" x14ac:dyDescent="0.3">
      <c r="A56" s="117" t="s">
        <v>315</v>
      </c>
      <c r="B56" s="104" t="s">
        <v>320</v>
      </c>
      <c r="C56" s="109"/>
      <c r="D56" s="109"/>
      <c r="E56" s="103"/>
      <c r="F56" s="109">
        <v>45</v>
      </c>
      <c r="G56" s="109">
        <f>F56</f>
        <v>45</v>
      </c>
      <c r="H56" s="109">
        <f>G56</f>
        <v>45</v>
      </c>
      <c r="I56" s="133"/>
      <c r="K56" s="142"/>
    </row>
    <row r="57" spans="1:11" ht="18.75" customHeight="1" x14ac:dyDescent="0.3">
      <c r="A57" s="117" t="s">
        <v>315</v>
      </c>
      <c r="B57" s="104" t="s">
        <v>321</v>
      </c>
      <c r="C57" s="109">
        <v>300</v>
      </c>
      <c r="D57" s="109">
        <f>C57</f>
        <v>300</v>
      </c>
      <c r="E57" s="109">
        <f t="shared" ref="E57:H57" si="10">D57</f>
        <v>300</v>
      </c>
      <c r="F57" s="109">
        <f t="shared" si="10"/>
        <v>300</v>
      </c>
      <c r="G57" s="109">
        <f t="shared" si="10"/>
        <v>300</v>
      </c>
      <c r="H57" s="109">
        <f t="shared" si="10"/>
        <v>300</v>
      </c>
      <c r="I57" s="133"/>
      <c r="K57" s="105"/>
    </row>
    <row r="58" spans="1:11" ht="40.5" customHeight="1" x14ac:dyDescent="0.3">
      <c r="A58" s="120" t="s">
        <v>315</v>
      </c>
      <c r="B58" s="115" t="s">
        <v>322</v>
      </c>
      <c r="C58" s="122">
        <v>270</v>
      </c>
      <c r="D58" s="122">
        <f>C58</f>
        <v>270</v>
      </c>
      <c r="E58" s="122">
        <f t="shared" ref="E58:H58" si="11">D58</f>
        <v>270</v>
      </c>
      <c r="F58" s="122">
        <f t="shared" si="11"/>
        <v>270</v>
      </c>
      <c r="G58" s="122">
        <f t="shared" si="11"/>
        <v>270</v>
      </c>
      <c r="H58" s="122">
        <f t="shared" si="11"/>
        <v>270</v>
      </c>
      <c r="I58" s="134"/>
      <c r="K58" s="105"/>
    </row>
    <row r="59" spans="1:11" x14ac:dyDescent="0.3">
      <c r="A59" s="117" t="s">
        <v>323</v>
      </c>
      <c r="B59" s="104" t="s">
        <v>324</v>
      </c>
      <c r="C59" s="294">
        <v>0</v>
      </c>
      <c r="D59" s="294">
        <v>0</v>
      </c>
      <c r="E59" s="109">
        <v>43</v>
      </c>
      <c r="F59" s="109">
        <f>$E$59</f>
        <v>43</v>
      </c>
      <c r="G59" s="109">
        <f t="shared" ref="G59:H59" si="12">$E$59</f>
        <v>43</v>
      </c>
      <c r="H59" s="109">
        <f t="shared" si="12"/>
        <v>43</v>
      </c>
      <c r="I59" s="112" t="s">
        <v>325</v>
      </c>
      <c r="K59" s="105"/>
    </row>
    <row r="60" spans="1:11" ht="27.6" x14ac:dyDescent="0.3">
      <c r="A60" s="117" t="s">
        <v>323</v>
      </c>
      <c r="B60" s="124" t="s">
        <v>326</v>
      </c>
      <c r="C60" s="291">
        <v>0</v>
      </c>
      <c r="D60" s="291">
        <v>0</v>
      </c>
      <c r="E60" s="109">
        <v>11</v>
      </c>
      <c r="F60" s="109">
        <v>11</v>
      </c>
      <c r="G60" s="109">
        <v>11</v>
      </c>
      <c r="H60" s="109">
        <v>11</v>
      </c>
      <c r="I60" s="133"/>
      <c r="K60" s="142"/>
    </row>
    <row r="61" spans="1:11" x14ac:dyDescent="0.3">
      <c r="A61" s="120" t="s">
        <v>323</v>
      </c>
      <c r="B61" s="121" t="s">
        <v>327</v>
      </c>
      <c r="C61" s="293">
        <v>0</v>
      </c>
      <c r="D61" s="293">
        <v>0</v>
      </c>
      <c r="E61" s="122">
        <v>11</v>
      </c>
      <c r="F61" s="122">
        <f>$E$61</f>
        <v>11</v>
      </c>
      <c r="G61" s="122">
        <f t="shared" ref="G61:H61" si="13">$E$61</f>
        <v>11</v>
      </c>
      <c r="H61" s="122">
        <f t="shared" si="13"/>
        <v>11</v>
      </c>
      <c r="I61" s="130" t="s">
        <v>328</v>
      </c>
      <c r="K61" s="142"/>
    </row>
    <row r="62" spans="1:11" ht="33.6" customHeight="1" x14ac:dyDescent="0.3">
      <c r="A62" s="117" t="s">
        <v>329</v>
      </c>
      <c r="B62" s="104" t="s">
        <v>330</v>
      </c>
      <c r="C62" s="294">
        <v>0</v>
      </c>
      <c r="D62" s="294">
        <v>0</v>
      </c>
      <c r="E62" s="294">
        <v>0</v>
      </c>
      <c r="F62" s="143">
        <v>0.8</v>
      </c>
      <c r="G62" s="143">
        <f>$F$62</f>
        <v>0.8</v>
      </c>
      <c r="H62" s="143">
        <f>$G$62</f>
        <v>0.8</v>
      </c>
      <c r="I62" s="129"/>
      <c r="K62" s="142"/>
    </row>
    <row r="63" spans="1:11" ht="18.75" customHeight="1" x14ac:dyDescent="0.3">
      <c r="A63" s="117" t="s">
        <v>329</v>
      </c>
      <c r="B63" s="104" t="s">
        <v>331</v>
      </c>
      <c r="C63" s="291">
        <v>0</v>
      </c>
      <c r="D63" s="291">
        <v>0</v>
      </c>
      <c r="E63" s="291">
        <v>0</v>
      </c>
      <c r="F63" s="108">
        <v>925</v>
      </c>
      <c r="G63" s="108">
        <f>$F$63</f>
        <v>925</v>
      </c>
      <c r="H63" s="108">
        <f>$G$63</f>
        <v>925</v>
      </c>
      <c r="I63" s="112"/>
      <c r="K63" s="142"/>
    </row>
    <row r="64" spans="1:11" ht="18.75" customHeight="1" x14ac:dyDescent="0.3">
      <c r="A64" s="117" t="s">
        <v>329</v>
      </c>
      <c r="B64" s="107" t="s">
        <v>332</v>
      </c>
      <c r="C64" s="291">
        <v>0</v>
      </c>
      <c r="D64" s="291">
        <v>0</v>
      </c>
      <c r="E64" s="291">
        <v>0</v>
      </c>
      <c r="F64" s="147">
        <f>(F63/40)*F62</f>
        <v>18.5</v>
      </c>
      <c r="G64" s="147">
        <f t="shared" ref="G64:H64" si="14">(G63/40)*G62</f>
        <v>18.5</v>
      </c>
      <c r="H64" s="147">
        <f t="shared" si="14"/>
        <v>18.5</v>
      </c>
      <c r="I64" s="112"/>
      <c r="K64" s="142"/>
    </row>
    <row r="65" spans="1:11" ht="18.75" customHeight="1" x14ac:dyDescent="0.3">
      <c r="A65" s="117" t="s">
        <v>329</v>
      </c>
      <c r="B65" s="104" t="s">
        <v>333</v>
      </c>
      <c r="C65" s="291">
        <v>0</v>
      </c>
      <c r="D65" s="291">
        <v>0</v>
      </c>
      <c r="E65" s="291">
        <v>0</v>
      </c>
      <c r="F65" s="109">
        <v>110</v>
      </c>
      <c r="G65" s="109">
        <f>$F$65</f>
        <v>110</v>
      </c>
      <c r="H65" s="109">
        <f>$F$65</f>
        <v>110</v>
      </c>
      <c r="I65" s="133"/>
      <c r="K65" s="142"/>
    </row>
    <row r="66" spans="1:11" ht="20.7" customHeight="1" x14ac:dyDescent="0.3">
      <c r="A66" s="117" t="s">
        <v>329</v>
      </c>
      <c r="B66" s="104" t="s">
        <v>334</v>
      </c>
      <c r="C66" s="291">
        <v>0</v>
      </c>
      <c r="D66" s="291">
        <v>0</v>
      </c>
      <c r="E66" s="291">
        <v>0</v>
      </c>
      <c r="F66" s="109">
        <v>9</v>
      </c>
      <c r="G66" s="109">
        <f>$F$66</f>
        <v>9</v>
      </c>
      <c r="H66" s="109">
        <f>$F$66</f>
        <v>9</v>
      </c>
      <c r="I66" s="112" t="s">
        <v>335</v>
      </c>
      <c r="K66" s="142"/>
    </row>
    <row r="67" spans="1:11" ht="37.5" customHeight="1" x14ac:dyDescent="0.3">
      <c r="A67" s="120" t="s">
        <v>329</v>
      </c>
      <c r="B67" s="121" t="s">
        <v>336</v>
      </c>
      <c r="C67" s="293">
        <v>0</v>
      </c>
      <c r="D67" s="293">
        <v>0</v>
      </c>
      <c r="E67" s="293">
        <v>0</v>
      </c>
      <c r="F67" s="122">
        <f t="shared" ref="F67:H67" si="15">F65+(F66*F64)</f>
        <v>276.5</v>
      </c>
      <c r="G67" s="122">
        <f t="shared" si="15"/>
        <v>276.5</v>
      </c>
      <c r="H67" s="122">
        <f t="shared" si="15"/>
        <v>276.5</v>
      </c>
      <c r="I67" s="130" t="s">
        <v>337</v>
      </c>
      <c r="K67" s="142"/>
    </row>
    <row r="68" spans="1:11" ht="27.6" x14ac:dyDescent="0.3">
      <c r="A68" s="117" t="s">
        <v>338</v>
      </c>
      <c r="B68" s="104" t="s">
        <v>339</v>
      </c>
      <c r="C68" s="109">
        <v>300</v>
      </c>
      <c r="D68" s="109">
        <f>C68</f>
        <v>300</v>
      </c>
      <c r="E68" s="109">
        <f t="shared" ref="E68:H68" si="16">D68</f>
        <v>300</v>
      </c>
      <c r="F68" s="109">
        <f t="shared" si="16"/>
        <v>300</v>
      </c>
      <c r="G68" s="109">
        <f t="shared" si="16"/>
        <v>300</v>
      </c>
      <c r="H68" s="109">
        <f t="shared" si="16"/>
        <v>300</v>
      </c>
      <c r="I68" s="112" t="s">
        <v>340</v>
      </c>
      <c r="K68" s="105"/>
    </row>
    <row r="69" spans="1:11" ht="18.75" customHeight="1" x14ac:dyDescent="0.3">
      <c r="A69" s="117" t="s">
        <v>338</v>
      </c>
      <c r="B69" s="104" t="s">
        <v>341</v>
      </c>
      <c r="C69" s="109">
        <v>190</v>
      </c>
      <c r="D69" s="109">
        <f t="shared" ref="D69:H72" si="17">C69</f>
        <v>190</v>
      </c>
      <c r="E69" s="109">
        <f t="shared" si="17"/>
        <v>190</v>
      </c>
      <c r="F69" s="109">
        <f t="shared" si="17"/>
        <v>190</v>
      </c>
      <c r="G69" s="109">
        <f t="shared" si="17"/>
        <v>190</v>
      </c>
      <c r="H69" s="109">
        <f t="shared" si="17"/>
        <v>190</v>
      </c>
      <c r="I69" s="133"/>
      <c r="K69" s="105"/>
    </row>
    <row r="70" spans="1:11" ht="18.75" customHeight="1" x14ac:dyDescent="0.3">
      <c r="A70" s="117" t="s">
        <v>338</v>
      </c>
      <c r="B70" s="104" t="s">
        <v>59</v>
      </c>
      <c r="C70" s="109">
        <v>200</v>
      </c>
      <c r="D70" s="109">
        <f t="shared" si="17"/>
        <v>200</v>
      </c>
      <c r="E70" s="109">
        <f t="shared" si="17"/>
        <v>200</v>
      </c>
      <c r="F70" s="109">
        <f t="shared" si="17"/>
        <v>200</v>
      </c>
      <c r="G70" s="109">
        <f t="shared" si="17"/>
        <v>200</v>
      </c>
      <c r="H70" s="109">
        <f t="shared" si="17"/>
        <v>200</v>
      </c>
      <c r="I70" s="133"/>
      <c r="K70" s="105"/>
    </row>
    <row r="71" spans="1:11" ht="23.25" customHeight="1" x14ac:dyDescent="0.3">
      <c r="A71" s="117" t="s">
        <v>338</v>
      </c>
      <c r="B71" s="104" t="s">
        <v>342</v>
      </c>
      <c r="C71" s="109">
        <v>600</v>
      </c>
      <c r="D71" s="109">
        <f t="shared" si="17"/>
        <v>600</v>
      </c>
      <c r="E71" s="109">
        <f t="shared" si="17"/>
        <v>600</v>
      </c>
      <c r="F71" s="109">
        <f t="shared" si="17"/>
        <v>600</v>
      </c>
      <c r="G71" s="109">
        <f t="shared" si="17"/>
        <v>600</v>
      </c>
      <c r="H71" s="109">
        <f t="shared" si="17"/>
        <v>600</v>
      </c>
      <c r="I71" s="112"/>
      <c r="K71" s="105"/>
    </row>
    <row r="72" spans="1:11" ht="18.75" customHeight="1" x14ac:dyDescent="0.3">
      <c r="A72" s="117" t="s">
        <v>338</v>
      </c>
      <c r="B72" s="104" t="s">
        <v>343</v>
      </c>
      <c r="C72" s="109">
        <v>750</v>
      </c>
      <c r="D72" s="109">
        <f t="shared" si="17"/>
        <v>750</v>
      </c>
      <c r="E72" s="109">
        <f t="shared" si="17"/>
        <v>750</v>
      </c>
      <c r="F72" s="109">
        <f t="shared" si="17"/>
        <v>750</v>
      </c>
      <c r="G72" s="109">
        <f t="shared" si="17"/>
        <v>750</v>
      </c>
      <c r="H72" s="109">
        <f t="shared" si="17"/>
        <v>750</v>
      </c>
      <c r="I72" s="133"/>
      <c r="K72" s="142"/>
    </row>
    <row r="73" spans="1:11" ht="18.75" customHeight="1" x14ac:dyDescent="0.3">
      <c r="A73" s="117" t="s">
        <v>338</v>
      </c>
      <c r="B73" s="104" t="s">
        <v>344</v>
      </c>
      <c r="C73" s="36">
        <v>0.05</v>
      </c>
      <c r="D73" s="36">
        <v>0.05</v>
      </c>
      <c r="E73" s="36">
        <v>0.05</v>
      </c>
      <c r="F73" s="36">
        <v>0.05</v>
      </c>
      <c r="G73" s="36">
        <v>0.05</v>
      </c>
      <c r="H73" s="36">
        <v>0.05</v>
      </c>
      <c r="I73" s="66"/>
      <c r="K73" s="35"/>
    </row>
    <row r="74" spans="1:11" ht="18.75" customHeight="1" x14ac:dyDescent="0.3">
      <c r="A74" s="117" t="s">
        <v>338</v>
      </c>
      <c r="B74" s="104" t="s">
        <v>345</v>
      </c>
      <c r="C74" s="36">
        <v>0.05</v>
      </c>
      <c r="D74" s="36">
        <v>0.05</v>
      </c>
      <c r="E74" s="36">
        <v>0.05</v>
      </c>
      <c r="F74" s="36">
        <v>0.05</v>
      </c>
      <c r="G74" s="36">
        <v>0.05</v>
      </c>
      <c r="H74" s="36">
        <v>0.05</v>
      </c>
      <c r="I74" s="66"/>
      <c r="K74" s="35"/>
    </row>
    <row r="75" spans="1:11" ht="18.75" customHeight="1" x14ac:dyDescent="0.3">
      <c r="A75" s="117" t="s">
        <v>338</v>
      </c>
      <c r="B75" s="104" t="s">
        <v>346</v>
      </c>
      <c r="C75" s="36">
        <v>0.05</v>
      </c>
      <c r="D75" s="36">
        <v>0.05</v>
      </c>
      <c r="E75" s="36">
        <v>0.05</v>
      </c>
      <c r="F75" s="36">
        <v>0.05</v>
      </c>
      <c r="G75" s="36">
        <v>0.05</v>
      </c>
      <c r="H75" s="36">
        <v>0</v>
      </c>
      <c r="I75" s="66"/>
      <c r="K75" s="35"/>
    </row>
    <row r="76" spans="1:11" ht="18.75" customHeight="1" x14ac:dyDescent="0.3">
      <c r="A76" s="117" t="s">
        <v>338</v>
      </c>
      <c r="B76" s="104" t="s">
        <v>347</v>
      </c>
      <c r="C76" s="108">
        <v>1</v>
      </c>
      <c r="D76" s="108">
        <v>1</v>
      </c>
      <c r="E76" s="108">
        <v>1</v>
      </c>
      <c r="F76" s="108">
        <v>1</v>
      </c>
      <c r="G76" s="108">
        <v>1</v>
      </c>
      <c r="H76" s="108">
        <v>0.75</v>
      </c>
      <c r="I76" s="104"/>
    </row>
    <row r="77" spans="1:11" ht="18.75" customHeight="1" x14ac:dyDescent="0.3">
      <c r="A77" s="117" t="s">
        <v>338</v>
      </c>
      <c r="B77" s="104" t="s">
        <v>348</v>
      </c>
      <c r="C77" s="108">
        <v>11</v>
      </c>
      <c r="D77" s="108">
        <f>C77</f>
        <v>11</v>
      </c>
      <c r="E77" s="108">
        <f t="shared" ref="E77:H77" si="18">D77</f>
        <v>11</v>
      </c>
      <c r="F77" s="108">
        <f t="shared" si="18"/>
        <v>11</v>
      </c>
      <c r="G77" s="108">
        <f t="shared" si="18"/>
        <v>11</v>
      </c>
      <c r="H77" s="108">
        <f t="shared" si="18"/>
        <v>11</v>
      </c>
      <c r="I77" s="104"/>
    </row>
    <row r="78" spans="1:11" ht="18.75" customHeight="1" x14ac:dyDescent="0.3">
      <c r="A78" s="117" t="s">
        <v>338</v>
      </c>
      <c r="B78" s="104" t="s">
        <v>349</v>
      </c>
      <c r="C78" s="108">
        <v>10</v>
      </c>
      <c r="D78" s="108">
        <f>C78</f>
        <v>10</v>
      </c>
      <c r="E78" s="108">
        <f t="shared" ref="E78:H78" si="19">D78</f>
        <v>10</v>
      </c>
      <c r="F78" s="108">
        <f t="shared" si="19"/>
        <v>10</v>
      </c>
      <c r="G78" s="108">
        <f t="shared" si="19"/>
        <v>10</v>
      </c>
      <c r="H78" s="108">
        <f t="shared" si="19"/>
        <v>10</v>
      </c>
      <c r="I78" s="104"/>
    </row>
    <row r="79" spans="1:11" ht="18.75" customHeight="1" x14ac:dyDescent="0.3">
      <c r="A79" s="117" t="s">
        <v>338</v>
      </c>
      <c r="B79" s="104" t="s">
        <v>350</v>
      </c>
      <c r="C79" s="114">
        <v>1452</v>
      </c>
      <c r="D79" s="114">
        <f>C79</f>
        <v>1452</v>
      </c>
      <c r="E79" s="114">
        <f t="shared" ref="E79:H79" si="20">D79</f>
        <v>1452</v>
      </c>
      <c r="F79" s="114">
        <f t="shared" si="20"/>
        <v>1452</v>
      </c>
      <c r="G79" s="114">
        <f t="shared" si="20"/>
        <v>1452</v>
      </c>
      <c r="H79" s="114">
        <f t="shared" si="20"/>
        <v>1452</v>
      </c>
      <c r="I79" s="104"/>
    </row>
    <row r="80" spans="1:11" ht="18.75" customHeight="1" x14ac:dyDescent="0.3">
      <c r="A80" s="120" t="s">
        <v>338</v>
      </c>
      <c r="B80" s="121" t="s">
        <v>351</v>
      </c>
      <c r="C80" s="123">
        <v>300</v>
      </c>
      <c r="D80" s="123">
        <v>300</v>
      </c>
      <c r="E80" s="123">
        <v>300</v>
      </c>
      <c r="F80" s="123">
        <v>300</v>
      </c>
      <c r="G80" s="123">
        <v>300</v>
      </c>
      <c r="H80" s="123">
        <v>300</v>
      </c>
      <c r="I80" s="121"/>
    </row>
    <row r="81" spans="1:12" x14ac:dyDescent="0.3">
      <c r="A81" s="144" t="s">
        <v>352</v>
      </c>
      <c r="B81" s="131" t="s">
        <v>353</v>
      </c>
      <c r="C81" s="132">
        <f>19.25+4.5</f>
        <v>23.75</v>
      </c>
      <c r="D81" s="132">
        <f>C81</f>
        <v>23.75</v>
      </c>
      <c r="E81" s="132">
        <f t="shared" ref="E81:H81" si="21">D81</f>
        <v>23.75</v>
      </c>
      <c r="F81" s="132">
        <f t="shared" si="21"/>
        <v>23.75</v>
      </c>
      <c r="G81" s="132">
        <f t="shared" si="21"/>
        <v>23.75</v>
      </c>
      <c r="H81" s="132">
        <f t="shared" si="21"/>
        <v>23.75</v>
      </c>
      <c r="I81" s="131" t="s">
        <v>354</v>
      </c>
    </row>
    <row r="82" spans="1:12" x14ac:dyDescent="0.3">
      <c r="A82" s="145" t="s">
        <v>352</v>
      </c>
      <c r="B82" s="104" t="s">
        <v>355</v>
      </c>
      <c r="C82" s="109">
        <f>20.25+4.5</f>
        <v>24.75</v>
      </c>
      <c r="D82" s="109">
        <f>C82</f>
        <v>24.75</v>
      </c>
      <c r="E82" s="109">
        <f t="shared" ref="E82" si="22">D82</f>
        <v>24.75</v>
      </c>
      <c r="F82" s="109">
        <f t="shared" ref="F82" si="23">E82</f>
        <v>24.75</v>
      </c>
      <c r="G82" s="109">
        <f t="shared" ref="G82" si="24">F82</f>
        <v>24.75</v>
      </c>
      <c r="H82" s="109">
        <f t="shared" ref="H82" si="25">G82</f>
        <v>24.75</v>
      </c>
      <c r="I82" s="104" t="s">
        <v>356</v>
      </c>
    </row>
    <row r="83" spans="1:12" ht="27.6" x14ac:dyDescent="0.3">
      <c r="A83" s="146" t="s">
        <v>352</v>
      </c>
      <c r="B83" s="121" t="s">
        <v>357</v>
      </c>
      <c r="C83" s="122">
        <f>20.25+3.04+4.5</f>
        <v>27.79</v>
      </c>
      <c r="D83" s="122">
        <f>C83</f>
        <v>27.79</v>
      </c>
      <c r="E83" s="122">
        <f t="shared" ref="E83:H83" si="26">D83</f>
        <v>27.79</v>
      </c>
      <c r="F83" s="122">
        <f t="shared" si="26"/>
        <v>27.79</v>
      </c>
      <c r="G83" s="122">
        <f t="shared" si="26"/>
        <v>27.79</v>
      </c>
      <c r="H83" s="122">
        <f t="shared" si="26"/>
        <v>27.79</v>
      </c>
      <c r="I83" s="115" t="s">
        <v>358</v>
      </c>
    </row>
    <row r="85" spans="1:12" x14ac:dyDescent="0.3">
      <c r="I85" s="104"/>
    </row>
    <row r="86" spans="1:12" ht="13.8" x14ac:dyDescent="0.3">
      <c r="I86" s="118"/>
      <c r="J86" s="103"/>
      <c r="L86" s="103"/>
    </row>
  </sheetData>
  <mergeCells count="1">
    <mergeCell ref="I21:I22"/>
  </mergeCells>
  <phoneticPr fontId="31" type="noConversion"/>
  <pageMargins left="0.7" right="0.7" top="0.75" bottom="0.75" header="0.3" footer="0.3"/>
  <pageSetup orientation="portrait" horizontalDpi="1200" verticalDpi="1200" r:id="rId1"/>
  <ignoredErrors>
    <ignoredError sqref="E38:H38"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74"/>
  <sheetViews>
    <sheetView zoomScale="90" zoomScaleNormal="90" workbookViewId="0">
      <selection activeCell="B2" sqref="B2:I2"/>
    </sheetView>
  </sheetViews>
  <sheetFormatPr defaultColWidth="9.109375" defaultRowHeight="13.8" x14ac:dyDescent="0.3"/>
  <cols>
    <col min="1" max="1" width="5.109375" style="73" customWidth="1"/>
    <col min="2" max="2" width="25.109375" style="73" customWidth="1"/>
    <col min="3" max="3" width="40.88671875" style="62" customWidth="1"/>
    <col min="4" max="4" width="12.6640625" style="221" customWidth="1"/>
    <col min="5" max="5" width="11.44140625" style="221" customWidth="1"/>
    <col min="6" max="6" width="11.6640625" style="221" customWidth="1"/>
    <col min="7" max="7" width="12.6640625" style="221" customWidth="1"/>
    <col min="8" max="8" width="12.44140625" style="221" customWidth="1"/>
    <col min="9" max="9" width="21.109375" style="62" customWidth="1"/>
    <col min="10" max="10" width="10.6640625" style="62" customWidth="1"/>
    <col min="11" max="16384" width="9.109375" style="62"/>
  </cols>
  <sheetData>
    <row r="2" spans="1:12" s="69" customFormat="1" ht="46.5" customHeight="1" x14ac:dyDescent="0.3">
      <c r="A2" s="71"/>
      <c r="B2" s="301" t="s">
        <v>430</v>
      </c>
      <c r="C2" s="301"/>
      <c r="D2" s="301"/>
      <c r="E2" s="301"/>
      <c r="F2" s="301"/>
      <c r="G2" s="301"/>
      <c r="H2" s="301"/>
      <c r="I2" s="301"/>
      <c r="J2" s="97"/>
      <c r="K2" s="72"/>
    </row>
    <row r="3" spans="1:12" s="63" customFormat="1" ht="48" customHeight="1" x14ac:dyDescent="0.3">
      <c r="A3" s="149"/>
      <c r="B3" s="199" t="s">
        <v>410</v>
      </c>
      <c r="C3" s="200" t="s">
        <v>411</v>
      </c>
      <c r="D3" s="210" t="s">
        <v>40</v>
      </c>
      <c r="E3" s="211" t="s">
        <v>41</v>
      </c>
      <c r="F3" s="211" t="s">
        <v>42</v>
      </c>
      <c r="G3" s="211" t="s">
        <v>43</v>
      </c>
      <c r="H3" s="211" t="s">
        <v>44</v>
      </c>
      <c r="I3" s="169" t="s">
        <v>407</v>
      </c>
      <c r="J3" s="60"/>
      <c r="K3" s="74"/>
    </row>
    <row r="4" spans="1:12" ht="16.8" x14ac:dyDescent="0.25">
      <c r="A4" s="149"/>
      <c r="B4" s="202" t="s">
        <v>412</v>
      </c>
      <c r="C4" s="60" t="s">
        <v>377</v>
      </c>
      <c r="D4" s="192">
        <v>0</v>
      </c>
      <c r="E4" s="192">
        <v>0</v>
      </c>
      <c r="F4" s="192">
        <v>0</v>
      </c>
      <c r="G4" s="192">
        <f>'App9. Data for tables'!F$7*'App9. Data for tables'!F$62</f>
        <v>38.400000000000006</v>
      </c>
      <c r="H4" s="192">
        <f>'App9. Data for tables'!G$7*'App9. Data for tables'!G$62</f>
        <v>50.400000000000006</v>
      </c>
      <c r="I4" s="192">
        <f>'App9. Data for tables'!H$7*'App9. Data for tables'!H$62</f>
        <v>62.400000000000006</v>
      </c>
      <c r="J4" s="60"/>
      <c r="K4" s="99"/>
      <c r="L4" s="63"/>
    </row>
    <row r="5" spans="1:12" ht="16.8" x14ac:dyDescent="0.25">
      <c r="A5" s="149"/>
      <c r="B5" s="202" t="s">
        <v>413</v>
      </c>
      <c r="C5" s="47" t="s">
        <v>405</v>
      </c>
      <c r="D5" s="192">
        <f t="shared" ref="D5:E5" si="0">$G$5</f>
        <v>647.5</v>
      </c>
      <c r="E5" s="192">
        <f t="shared" si="0"/>
        <v>647.5</v>
      </c>
      <c r="F5" s="192">
        <f>$G$5</f>
        <v>647.5</v>
      </c>
      <c r="G5" s="192">
        <f>'App9. Data for tables'!$F$4</f>
        <v>647.5</v>
      </c>
      <c r="H5" s="192">
        <f>'App9. Data for tables'!$G$4</f>
        <v>647.5</v>
      </c>
      <c r="I5" s="192">
        <f>'App9. Data for tables'!$H$4</f>
        <v>647.5</v>
      </c>
      <c r="J5" s="60"/>
      <c r="K5" s="74"/>
      <c r="L5" s="63"/>
    </row>
    <row r="6" spans="1:12" ht="16.8" x14ac:dyDescent="0.25">
      <c r="A6" s="149"/>
      <c r="B6" s="202" t="s">
        <v>413</v>
      </c>
      <c r="C6" s="47" t="s">
        <v>406</v>
      </c>
      <c r="D6" s="218">
        <f t="shared" ref="D6:E6" si="1">$G$6</f>
        <v>35</v>
      </c>
      <c r="E6" s="218">
        <f t="shared" si="1"/>
        <v>35</v>
      </c>
      <c r="F6" s="218">
        <f>$G$6</f>
        <v>35</v>
      </c>
      <c r="G6" s="218">
        <f>'App9. Data for tables'!F$3</f>
        <v>35</v>
      </c>
      <c r="H6" s="218">
        <f>'App9. Data for tables'!G$3</f>
        <v>35</v>
      </c>
      <c r="I6" s="218">
        <f>'App9. Data for tables'!H$3</f>
        <v>35</v>
      </c>
      <c r="J6" s="60"/>
      <c r="K6" s="74"/>
      <c r="L6" s="63"/>
    </row>
    <row r="7" spans="1:12" x14ac:dyDescent="0.25">
      <c r="A7" s="149"/>
      <c r="B7" s="202" t="s">
        <v>414</v>
      </c>
      <c r="C7" s="96" t="s">
        <v>45</v>
      </c>
      <c r="D7" s="314">
        <f t="shared" ref="D7:F7" si="2">D4*D5</f>
        <v>0</v>
      </c>
      <c r="E7" s="314">
        <f t="shared" si="2"/>
        <v>0</v>
      </c>
      <c r="F7" s="314">
        <f t="shared" si="2"/>
        <v>0</v>
      </c>
      <c r="G7" s="314">
        <f>G4*G5</f>
        <v>24864.000000000004</v>
      </c>
      <c r="H7" s="314">
        <f>H4*H5</f>
        <v>32634.000000000004</v>
      </c>
      <c r="I7" s="314">
        <f>I4*I5</f>
        <v>40404.000000000007</v>
      </c>
      <c r="J7" s="60"/>
      <c r="K7" s="74"/>
      <c r="L7" s="63"/>
    </row>
    <row r="8" spans="1:12" s="10" customFormat="1" ht="36" customHeight="1" x14ac:dyDescent="0.25">
      <c r="A8" s="165"/>
      <c r="B8" s="202" t="s">
        <v>415</v>
      </c>
      <c r="C8" s="15" t="s">
        <v>46</v>
      </c>
      <c r="D8" s="212">
        <f>SUM('App5. Estab Costs'!$F$5:$F$8)</f>
        <v>1519.79</v>
      </c>
      <c r="E8" s="212">
        <v>0</v>
      </c>
      <c r="F8" s="212">
        <v>0</v>
      </c>
      <c r="G8" s="212">
        <v>0</v>
      </c>
      <c r="H8" s="212">
        <v>0</v>
      </c>
      <c r="I8" s="212">
        <v>0</v>
      </c>
      <c r="J8" s="9"/>
      <c r="K8" s="14"/>
      <c r="L8" s="14"/>
    </row>
    <row r="9" spans="1:12" x14ac:dyDescent="0.25">
      <c r="A9" s="149"/>
      <c r="B9" s="202" t="s">
        <v>415</v>
      </c>
      <c r="C9" s="15" t="s">
        <v>47</v>
      </c>
      <c r="D9" s="212">
        <f>SUM('App5. Estab Costs'!$F$9:$F$10)</f>
        <v>17402.22</v>
      </c>
      <c r="E9" s="212">
        <v>0</v>
      </c>
      <c r="F9" s="212">
        <v>0</v>
      </c>
      <c r="G9" s="212">
        <v>0</v>
      </c>
      <c r="H9" s="212">
        <v>0</v>
      </c>
      <c r="I9" s="212">
        <v>0</v>
      </c>
      <c r="J9" s="60"/>
      <c r="K9" s="63"/>
      <c r="L9" s="63"/>
    </row>
    <row r="10" spans="1:12" ht="16.8" x14ac:dyDescent="0.25">
      <c r="A10" s="149"/>
      <c r="B10" s="202" t="s">
        <v>415</v>
      </c>
      <c r="C10" s="15" t="s">
        <v>378</v>
      </c>
      <c r="D10" s="212">
        <f>'App5. Estab Costs'!$F$16</f>
        <v>1235</v>
      </c>
      <c r="E10" s="212">
        <f>'App5. Estab Costs'!$F$33</f>
        <v>1211.25</v>
      </c>
      <c r="F10" s="212">
        <f>'App5. Estab Costs'!$F$49</f>
        <v>1235</v>
      </c>
      <c r="G10" s="212">
        <f>'App5. Estab Costs'!$F$72</f>
        <v>593.75</v>
      </c>
      <c r="H10" s="212">
        <f>'App5. Estab Costs'!$F$94</f>
        <v>878.75</v>
      </c>
      <c r="I10" s="212">
        <f>'App6. Full Prod Costs'!$E$5</f>
        <v>1068.75</v>
      </c>
      <c r="J10" s="60"/>
      <c r="K10" s="63"/>
      <c r="L10" s="63"/>
    </row>
    <row r="11" spans="1:12" ht="16.8" x14ac:dyDescent="0.25">
      <c r="A11" s="149"/>
      <c r="B11" s="202" t="s">
        <v>415</v>
      </c>
      <c r="C11" s="15" t="s">
        <v>379</v>
      </c>
      <c r="D11" s="212">
        <f>'App5. Estab Costs'!$F$17</f>
        <v>0</v>
      </c>
      <c r="E11" s="212">
        <f>'App5. Estab Costs'!$F$34</f>
        <v>0</v>
      </c>
      <c r="F11" s="212">
        <f>'App5. Estab Costs'!$F$50</f>
        <v>0</v>
      </c>
      <c r="G11" s="212">
        <f>'App5. Estab Costs'!$F$73</f>
        <v>0</v>
      </c>
      <c r="H11" s="212">
        <f>'App5. Estab Costs'!$F$95</f>
        <v>0</v>
      </c>
      <c r="I11" s="212">
        <f>'App6. Full Prod Costs'!$E$6</f>
        <v>0</v>
      </c>
      <c r="J11" s="60"/>
      <c r="K11" s="63"/>
      <c r="L11" s="63"/>
    </row>
    <row r="12" spans="1:12" ht="16.8" x14ac:dyDescent="0.25">
      <c r="A12" s="149"/>
      <c r="B12" s="202" t="s">
        <v>415</v>
      </c>
      <c r="C12" s="15" t="s">
        <v>380</v>
      </c>
      <c r="D12" s="212">
        <f>'App5. Estab Costs'!$F$18</f>
        <v>215.57999999999998</v>
      </c>
      <c r="E12" s="212">
        <f>'App5. Estab Costs'!$F$35</f>
        <v>491.15999999999997</v>
      </c>
      <c r="F12" s="212">
        <f>'App5. Estab Costs'!$F$51</f>
        <v>1637.32</v>
      </c>
      <c r="G12" s="212">
        <f>'App5. Estab Costs'!$F$74</f>
        <v>1787.32</v>
      </c>
      <c r="H12" s="212">
        <f>'App5. Estab Costs'!$F$96</f>
        <v>1787.32</v>
      </c>
      <c r="I12" s="212">
        <f>'App6. Full Prod Costs'!$E$7</f>
        <v>1787.32</v>
      </c>
      <c r="J12" s="60"/>
    </row>
    <row r="13" spans="1:12" ht="16.8" x14ac:dyDescent="0.25">
      <c r="A13" s="149"/>
      <c r="B13" s="202" t="s">
        <v>415</v>
      </c>
      <c r="C13" s="15" t="s">
        <v>381</v>
      </c>
      <c r="D13" s="212">
        <f>'App5. Estab Costs'!$F$19+'App5. Estab Costs'!$F$20</f>
        <v>100</v>
      </c>
      <c r="E13" s="212">
        <f>'App5. Estab Costs'!$F$36+'App5. Estab Costs'!$F$37</f>
        <v>124.75</v>
      </c>
      <c r="F13" s="212">
        <f>'App5. Estab Costs'!$F$52+'App5. Estab Costs'!$F$53</f>
        <v>244.75</v>
      </c>
      <c r="G13" s="212">
        <f>'App5. Estab Costs'!$F$75+'App5. Estab Costs'!$F$76</f>
        <v>244.75</v>
      </c>
      <c r="H13" s="212">
        <f>'App5. Estab Costs'!$F$97+'App5. Estab Costs'!$F$98</f>
        <v>319.75</v>
      </c>
      <c r="I13" s="212">
        <f>'App6. Full Prod Costs'!$E$8+'App6. Full Prod Costs'!$E$9</f>
        <v>394.75</v>
      </c>
      <c r="J13" s="60"/>
    </row>
    <row r="14" spans="1:12" x14ac:dyDescent="0.25">
      <c r="A14" s="63"/>
      <c r="B14" s="202" t="s">
        <v>415</v>
      </c>
      <c r="C14" s="15" t="s">
        <v>48</v>
      </c>
      <c r="D14" s="212">
        <f>'App5. Estab Costs'!$F$21+'App5. Estab Costs'!$F$22</f>
        <v>350</v>
      </c>
      <c r="E14" s="212">
        <f>'App5. Estab Costs'!$F$38+'App5. Estab Costs'!$F$39</f>
        <v>350</v>
      </c>
      <c r="F14" s="212">
        <f>'App5. Estab Costs'!$F$54+'App5. Estab Costs'!$F$55</f>
        <v>350</v>
      </c>
      <c r="G14" s="212">
        <f>'App5. Estab Costs'!$F$77+'App5. Estab Costs'!$F$78</f>
        <v>365</v>
      </c>
      <c r="H14" s="212">
        <f>'App5. Estab Costs'!$F$99+'App5. Estab Costs'!$F$100</f>
        <v>365</v>
      </c>
      <c r="I14" s="212">
        <f>'App6. Full Prod Costs'!$E$10+'App6. Full Prod Costs'!$E$11</f>
        <v>365</v>
      </c>
      <c r="J14" s="60"/>
    </row>
    <row r="15" spans="1:12" ht="16.8" x14ac:dyDescent="0.25">
      <c r="A15" s="63"/>
      <c r="B15" s="202" t="s">
        <v>415</v>
      </c>
      <c r="C15" s="15" t="s">
        <v>195</v>
      </c>
      <c r="D15" s="212">
        <f>'App5. Estab Costs'!$F$23</f>
        <v>361.27</v>
      </c>
      <c r="E15" s="212">
        <f>'App5. Estab Costs'!$F$40</f>
        <v>361.27</v>
      </c>
      <c r="F15" s="212">
        <f>'App5. Estab Costs'!$F$56</f>
        <v>361.27</v>
      </c>
      <c r="G15" s="212">
        <f>'App5. Estab Costs'!$F$79</f>
        <v>361.27</v>
      </c>
      <c r="H15" s="212">
        <f>'App5. Estab Costs'!$F$101</f>
        <v>361.27</v>
      </c>
      <c r="I15" s="212">
        <f>'App6. Full Prod Costs'!$E$12</f>
        <v>361.27</v>
      </c>
      <c r="J15" s="60"/>
    </row>
    <row r="16" spans="1:12" ht="16.8" x14ac:dyDescent="0.25">
      <c r="A16" s="149"/>
      <c r="B16" s="202" t="s">
        <v>415</v>
      </c>
      <c r="C16" s="15" t="s">
        <v>382</v>
      </c>
      <c r="D16" s="212">
        <v>0</v>
      </c>
      <c r="E16" s="212">
        <v>0</v>
      </c>
      <c r="F16" s="212">
        <v>0</v>
      </c>
      <c r="G16" s="212">
        <f>'App5. Estab Costs'!$F$71</f>
        <v>150</v>
      </c>
      <c r="H16" s="212">
        <f>'App5. Estab Costs'!$F$93</f>
        <v>150</v>
      </c>
      <c r="I16" s="212">
        <f>'App6. Full Prod Costs'!$E$4</f>
        <v>150</v>
      </c>
      <c r="J16" s="60"/>
    </row>
    <row r="17" spans="1:12" ht="16.8" x14ac:dyDescent="0.25">
      <c r="A17" s="63"/>
      <c r="B17" s="202" t="s">
        <v>415</v>
      </c>
      <c r="C17" s="15" t="s">
        <v>383</v>
      </c>
      <c r="D17" s="212">
        <f>'App5. Estab Costs'!$F$25</f>
        <v>9.9</v>
      </c>
      <c r="E17" s="212">
        <f>'App5. Estab Costs'!$F$41</f>
        <v>9.9</v>
      </c>
      <c r="F17" s="212">
        <f>'App5. Estab Costs'!$F$58</f>
        <v>9.9</v>
      </c>
      <c r="G17" s="212">
        <f>'App5. Estab Costs'!$F$81</f>
        <v>9.9</v>
      </c>
      <c r="H17" s="212">
        <f>'App5. Estab Costs'!$F$103</f>
        <v>9.9</v>
      </c>
      <c r="I17" s="212">
        <f>'App6. Full Prod Costs'!$E$14</f>
        <v>9.9</v>
      </c>
      <c r="J17" s="60"/>
    </row>
    <row r="18" spans="1:12" x14ac:dyDescent="0.25">
      <c r="A18" s="63"/>
      <c r="B18" s="202" t="s">
        <v>415</v>
      </c>
      <c r="C18" s="15" t="s">
        <v>50</v>
      </c>
      <c r="D18" s="212">
        <v>0</v>
      </c>
      <c r="E18" s="212">
        <v>0</v>
      </c>
      <c r="F18" s="212">
        <f>'App5. Estab Costs'!$F$57</f>
        <v>65</v>
      </c>
      <c r="G18" s="212">
        <f>'App5. Estab Costs'!$F$80</f>
        <v>65</v>
      </c>
      <c r="H18" s="212">
        <f>'App5. Estab Costs'!$F$102</f>
        <v>65</v>
      </c>
      <c r="I18" s="212">
        <f>'App6. Full Prod Costs'!$E$13</f>
        <v>65</v>
      </c>
      <c r="J18" s="60"/>
    </row>
    <row r="19" spans="1:12" ht="16.8" x14ac:dyDescent="0.25">
      <c r="A19" s="63"/>
      <c r="B19" s="202" t="s">
        <v>415</v>
      </c>
      <c r="C19" s="15" t="s">
        <v>384</v>
      </c>
      <c r="D19" s="212">
        <f>'App5. Estab Costs'!$F$28</f>
        <v>300</v>
      </c>
      <c r="E19" s="212">
        <f>'App5. Estab Costs'!$F$44</f>
        <v>300</v>
      </c>
      <c r="F19" s="212">
        <f>'App5. Estab Costs'!$F$61</f>
        <v>300</v>
      </c>
      <c r="G19" s="212">
        <f>'App5. Estab Costs'!$F$84</f>
        <v>300</v>
      </c>
      <c r="H19" s="212">
        <f>'App5. Estab Costs'!$F$106</f>
        <v>300</v>
      </c>
      <c r="I19" s="212">
        <f>'App6. Full Prod Costs'!$E$17</f>
        <v>300</v>
      </c>
      <c r="J19" s="60"/>
    </row>
    <row r="20" spans="1:12" x14ac:dyDescent="0.25">
      <c r="A20" s="63"/>
      <c r="B20" s="202" t="s">
        <v>415</v>
      </c>
      <c r="C20" s="15" t="s">
        <v>52</v>
      </c>
      <c r="D20" s="212">
        <v>0</v>
      </c>
      <c r="E20" s="212">
        <v>0</v>
      </c>
      <c r="F20" s="212">
        <f>'App5. Estab Costs'!$F66</f>
        <v>0</v>
      </c>
      <c r="G20" s="212">
        <f>'App5. Estab Costs'!$F89</f>
        <v>2064</v>
      </c>
      <c r="H20" s="212">
        <f>'App5. Estab Costs'!$F111</f>
        <v>2709</v>
      </c>
      <c r="I20" s="212">
        <f>'App6. Full Prod Costs'!$E22</f>
        <v>3354</v>
      </c>
      <c r="J20" s="60"/>
    </row>
    <row r="21" spans="1:12" x14ac:dyDescent="0.25">
      <c r="A21" s="63"/>
      <c r="B21" s="202" t="s">
        <v>415</v>
      </c>
      <c r="C21" s="15" t="s">
        <v>53</v>
      </c>
      <c r="D21" s="212">
        <v>0</v>
      </c>
      <c r="E21" s="212">
        <v>0</v>
      </c>
      <c r="F21" s="212">
        <f>'App5. Estab Costs'!$F67</f>
        <v>0</v>
      </c>
      <c r="G21" s="212">
        <f>'App5. Estab Costs'!$F90</f>
        <v>528</v>
      </c>
      <c r="H21" s="212">
        <f>'App5. Estab Costs'!$F112</f>
        <v>693</v>
      </c>
      <c r="I21" s="212">
        <f>'App6. Full Prod Costs'!$E23</f>
        <v>858</v>
      </c>
      <c r="J21" s="60"/>
    </row>
    <row r="22" spans="1:12" x14ac:dyDescent="0.25">
      <c r="A22" s="63"/>
      <c r="B22" s="202" t="s">
        <v>415</v>
      </c>
      <c r="C22" s="15" t="s">
        <v>54</v>
      </c>
      <c r="D22" s="212">
        <v>0</v>
      </c>
      <c r="E22" s="212">
        <v>0</v>
      </c>
      <c r="F22" s="212">
        <f>'App5. Estab Costs'!$F68</f>
        <v>0</v>
      </c>
      <c r="G22" s="212">
        <f>'App5. Estab Costs'!$F91</f>
        <v>528</v>
      </c>
      <c r="H22" s="212">
        <f>'App5. Estab Costs'!$F113</f>
        <v>693</v>
      </c>
      <c r="I22" s="212">
        <f>'App6. Full Prod Costs'!$E24</f>
        <v>858</v>
      </c>
      <c r="J22" s="60"/>
    </row>
    <row r="23" spans="1:12" ht="18.75" customHeight="1" x14ac:dyDescent="0.25">
      <c r="A23" s="63"/>
      <c r="B23" s="202" t="s">
        <v>415</v>
      </c>
      <c r="C23" s="203" t="s">
        <v>385</v>
      </c>
      <c r="D23" s="212">
        <v>0</v>
      </c>
      <c r="E23" s="212">
        <v>0</v>
      </c>
      <c r="F23" s="212">
        <f>'App5. Estab Costs'!$F69</f>
        <v>0</v>
      </c>
      <c r="G23" s="212">
        <f>'App5. Estab Costs'!$F92</f>
        <v>13272</v>
      </c>
      <c r="H23" s="212">
        <f>'App5. Estab Costs'!$F114</f>
        <v>17419.5</v>
      </c>
      <c r="I23" s="212">
        <f>'App6. Full Prod Costs'!$E25</f>
        <v>21567</v>
      </c>
      <c r="J23" s="60"/>
    </row>
    <row r="24" spans="1:12" ht="18.75" customHeight="1" x14ac:dyDescent="0.25">
      <c r="A24" s="63"/>
      <c r="B24" s="202" t="s">
        <v>415</v>
      </c>
      <c r="C24" s="15" t="s">
        <v>55</v>
      </c>
      <c r="D24" s="212">
        <f>'App5. Estab Costs'!$F$26</f>
        <v>360</v>
      </c>
      <c r="E24" s="212">
        <f>'App5. Estab Costs'!$F$42</f>
        <v>360</v>
      </c>
      <c r="F24" s="212">
        <f>'App5. Estab Costs'!$F$59</f>
        <v>360</v>
      </c>
      <c r="G24" s="212">
        <f>'App5. Estab Costs'!$F$82</f>
        <v>425</v>
      </c>
      <c r="H24" s="212">
        <f>'App5. Estab Costs'!$F$104</f>
        <v>425</v>
      </c>
      <c r="I24" s="212">
        <f>'App6. Full Prod Costs'!$E$15</f>
        <v>425</v>
      </c>
      <c r="J24" s="60"/>
    </row>
    <row r="25" spans="1:12" ht="18.75" customHeight="1" x14ac:dyDescent="0.25">
      <c r="A25" s="63"/>
      <c r="B25" s="202" t="s">
        <v>415</v>
      </c>
      <c r="C25" s="15" t="s">
        <v>56</v>
      </c>
      <c r="D25" s="212">
        <f>'App5. Estab Costs'!$F$27</f>
        <v>270</v>
      </c>
      <c r="E25" s="212">
        <f>'App5. Estab Costs'!$F$43</f>
        <v>270</v>
      </c>
      <c r="F25" s="212">
        <f>'App5. Estab Costs'!$F$60</f>
        <v>270</v>
      </c>
      <c r="G25" s="212">
        <f>'App5. Estab Costs'!$F$83</f>
        <v>270</v>
      </c>
      <c r="H25" s="212">
        <f>'App5. Estab Costs'!$F$105</f>
        <v>270</v>
      </c>
      <c r="I25" s="212">
        <f>'App6. Full Prod Costs'!$E$16</f>
        <v>270</v>
      </c>
      <c r="J25" s="60"/>
    </row>
    <row r="26" spans="1:12" ht="16.8" x14ac:dyDescent="0.25">
      <c r="A26" s="63"/>
      <c r="B26" s="202" t="s">
        <v>415</v>
      </c>
      <c r="C26" s="15" t="s">
        <v>386</v>
      </c>
      <c r="D26" s="212">
        <f>SUM(D8:D25)*'App9. Data for tables'!$C$73</f>
        <v>1106.1880000000003</v>
      </c>
      <c r="E26" s="212">
        <f>SUM(E8:E25)*'App9. Data for tables'!$C$73</f>
        <v>173.91650000000001</v>
      </c>
      <c r="F26" s="212">
        <f>SUM(F8:F25)*'App9. Data for tables'!$C$73</f>
        <v>241.66200000000001</v>
      </c>
      <c r="G26" s="212">
        <f>SUM(G8:G25)*'App9. Data for tables'!$C$73</f>
        <v>1048.1994999999999</v>
      </c>
      <c r="H26" s="212">
        <f>SUM(H8:H25)*'App9. Data for tables'!$C$73</f>
        <v>1322.3244999999999</v>
      </c>
      <c r="I26" s="212">
        <f>SUM(I8:I25)*'App9. Data for tables'!$H$73</f>
        <v>1591.6994999999999</v>
      </c>
      <c r="J26" s="60"/>
      <c r="K26" s="63"/>
      <c r="L26" s="63"/>
    </row>
    <row r="27" spans="1:12" ht="16.8" x14ac:dyDescent="0.25">
      <c r="A27" s="63"/>
      <c r="B27" s="202" t="s">
        <v>415</v>
      </c>
      <c r="C27" s="15" t="s">
        <v>387</v>
      </c>
      <c r="D27" s="212">
        <f>SUM(D8:D26)*'App9. Data for tables'!$C$74*'App9. Data for tables'!$C$76</f>
        <v>1161.4974000000004</v>
      </c>
      <c r="E27" s="212">
        <f>SUM(E8:E26)*'App9. Data for tables'!$D$74*'App9. Data for tables'!$D$76</f>
        <v>182.612325</v>
      </c>
      <c r="F27" s="212">
        <f>SUM(F8:F26)*'App9. Data for tables'!$E$74*'App9. Data for tables'!$E$76</f>
        <v>253.74510000000001</v>
      </c>
      <c r="G27" s="212">
        <f>SUM(G8:G26)*'App9. Data for tables'!$F$74*'App9. Data for tables'!$F$76</f>
        <v>1100.609475</v>
      </c>
      <c r="H27" s="212">
        <f>SUM(H8:H26)*'App9. Data for tables'!$G$74*'App9. Data for tables'!$G$76</f>
        <v>1388.4407249999999</v>
      </c>
      <c r="I27" s="212">
        <f>SUM(I8:I26)*'App9. Data for tables'!$H$74*'App9. Data for tables'!$H$76</f>
        <v>1253.4633562500001</v>
      </c>
      <c r="J27" s="60"/>
      <c r="K27" s="63"/>
      <c r="L27" s="63"/>
    </row>
    <row r="28" spans="1:12" x14ac:dyDescent="0.25">
      <c r="A28" s="63"/>
      <c r="B28" s="204" t="s">
        <v>416</v>
      </c>
      <c r="C28" s="205" t="s">
        <v>57</v>
      </c>
      <c r="D28" s="213">
        <f t="shared" ref="D28:I28" si="3">SUM(D8:D27)</f>
        <v>24391.445400000008</v>
      </c>
      <c r="E28" s="213">
        <f t="shared" si="3"/>
        <v>3834.8588249999998</v>
      </c>
      <c r="F28" s="213">
        <f t="shared" si="3"/>
        <v>5328.6471000000001</v>
      </c>
      <c r="G28" s="213">
        <f t="shared" si="3"/>
        <v>23112.798974999998</v>
      </c>
      <c r="H28" s="213">
        <f t="shared" si="3"/>
        <v>29157.255224999997</v>
      </c>
      <c r="I28" s="213">
        <f t="shared" si="3"/>
        <v>34679.152856250003</v>
      </c>
      <c r="J28" s="60"/>
      <c r="K28" s="63"/>
      <c r="L28" s="63"/>
    </row>
    <row r="29" spans="1:12" ht="18" customHeight="1" x14ac:dyDescent="0.25">
      <c r="A29" s="63"/>
      <c r="B29" s="204" t="s">
        <v>417</v>
      </c>
      <c r="C29" s="205" t="s">
        <v>418</v>
      </c>
      <c r="D29" s="214">
        <f t="shared" ref="D29:I29" si="4">D7-D28</f>
        <v>-24391.445400000008</v>
      </c>
      <c r="E29" s="214">
        <f t="shared" si="4"/>
        <v>-3834.8588249999998</v>
      </c>
      <c r="F29" s="214">
        <f t="shared" si="4"/>
        <v>-5328.6471000000001</v>
      </c>
      <c r="G29" s="213">
        <f t="shared" si="4"/>
        <v>1751.2010250000058</v>
      </c>
      <c r="H29" s="213">
        <f t="shared" si="4"/>
        <v>3476.7447750000065</v>
      </c>
      <c r="I29" s="213">
        <f t="shared" si="4"/>
        <v>5724.8471437500048</v>
      </c>
      <c r="J29" s="60"/>
      <c r="K29" s="63"/>
      <c r="L29" s="63"/>
    </row>
    <row r="30" spans="1:12" s="10" customFormat="1" ht="36" customHeight="1" x14ac:dyDescent="0.25">
      <c r="A30" s="14"/>
      <c r="B30" s="202" t="s">
        <v>419</v>
      </c>
      <c r="C30" s="15" t="s">
        <v>58</v>
      </c>
      <c r="D30" s="212">
        <f>'App5. Estab Costs'!$F29</f>
        <v>190</v>
      </c>
      <c r="E30" s="212">
        <f>'App5. Estab Costs'!$F45</f>
        <v>190</v>
      </c>
      <c r="F30" s="212">
        <f>'App5. Estab Costs'!$F62</f>
        <v>190</v>
      </c>
      <c r="G30" s="212">
        <f>'App5. Estab Costs'!$F85</f>
        <v>190</v>
      </c>
      <c r="H30" s="212">
        <f>'App5. Estab Costs'!$F107</f>
        <v>190</v>
      </c>
      <c r="I30" s="212">
        <f>'App6. Full Prod Costs'!$E18</f>
        <v>190</v>
      </c>
      <c r="J30" s="9"/>
      <c r="K30" s="14"/>
      <c r="L30" s="14"/>
    </row>
    <row r="31" spans="1:12" x14ac:dyDescent="0.25">
      <c r="A31" s="63"/>
      <c r="B31" s="202" t="s">
        <v>419</v>
      </c>
      <c r="C31" s="15" t="s">
        <v>59</v>
      </c>
      <c r="D31" s="212">
        <f>'App5. Estab Costs'!$F30</f>
        <v>200</v>
      </c>
      <c r="E31" s="212">
        <f>'App5. Estab Costs'!$F46</f>
        <v>200</v>
      </c>
      <c r="F31" s="212">
        <f>'App5. Estab Costs'!$F63</f>
        <v>200</v>
      </c>
      <c r="G31" s="212">
        <f>'App5. Estab Costs'!$F86</f>
        <v>200</v>
      </c>
      <c r="H31" s="212">
        <f>'App5. Estab Costs'!$F108</f>
        <v>200</v>
      </c>
      <c r="I31" s="212">
        <f>'App6. Full Prod Costs'!$E19</f>
        <v>200</v>
      </c>
      <c r="J31" s="60"/>
      <c r="K31" s="63"/>
      <c r="L31" s="63"/>
    </row>
    <row r="32" spans="1:12" x14ac:dyDescent="0.25">
      <c r="A32" s="63"/>
      <c r="B32" s="202" t="s">
        <v>419</v>
      </c>
      <c r="C32" s="15" t="s">
        <v>60</v>
      </c>
      <c r="D32" s="212">
        <f>'App5. Estab Costs'!$F31</f>
        <v>600</v>
      </c>
      <c r="E32" s="212">
        <f>'App5. Estab Costs'!$F47</f>
        <v>600</v>
      </c>
      <c r="F32" s="212">
        <f>'App5. Estab Costs'!$F64</f>
        <v>600</v>
      </c>
      <c r="G32" s="212">
        <f>'App5. Estab Costs'!$F87</f>
        <v>600</v>
      </c>
      <c r="H32" s="212">
        <f>'App5. Estab Costs'!$F109</f>
        <v>600</v>
      </c>
      <c r="I32" s="212">
        <f>'App6. Full Prod Costs'!$E20</f>
        <v>600</v>
      </c>
      <c r="J32" s="60"/>
      <c r="K32" s="63"/>
      <c r="L32" s="63"/>
    </row>
    <row r="33" spans="1:12" x14ac:dyDescent="0.25">
      <c r="A33" s="63"/>
      <c r="B33" s="204" t="s">
        <v>420</v>
      </c>
      <c r="C33" s="205" t="s">
        <v>61</v>
      </c>
      <c r="D33" s="213">
        <f t="shared" ref="D33:I33" si="5">SUM(D30:D32)</f>
        <v>990</v>
      </c>
      <c r="E33" s="213">
        <f t="shared" si="5"/>
        <v>990</v>
      </c>
      <c r="F33" s="213">
        <f t="shared" si="5"/>
        <v>990</v>
      </c>
      <c r="G33" s="213">
        <f t="shared" si="5"/>
        <v>990</v>
      </c>
      <c r="H33" s="213">
        <f t="shared" si="5"/>
        <v>990</v>
      </c>
      <c r="I33" s="213">
        <f t="shared" si="5"/>
        <v>990</v>
      </c>
      <c r="J33" s="60"/>
      <c r="K33" s="63"/>
      <c r="L33" s="63"/>
    </row>
    <row r="34" spans="1:12" ht="28.05" customHeight="1" x14ac:dyDescent="0.25">
      <c r="A34" s="63"/>
      <c r="B34" s="206" t="s">
        <v>421</v>
      </c>
      <c r="C34" s="205" t="s">
        <v>62</v>
      </c>
      <c r="D34" s="213">
        <f t="shared" ref="D34:I34" si="6">D28+D33</f>
        <v>25381.445400000008</v>
      </c>
      <c r="E34" s="213">
        <f t="shared" si="6"/>
        <v>4824.8588249999993</v>
      </c>
      <c r="F34" s="213">
        <f t="shared" si="6"/>
        <v>6318.6471000000001</v>
      </c>
      <c r="G34" s="213">
        <f t="shared" si="6"/>
        <v>24102.798974999998</v>
      </c>
      <c r="H34" s="213">
        <f t="shared" si="6"/>
        <v>30147.255224999997</v>
      </c>
      <c r="I34" s="213">
        <f t="shared" si="6"/>
        <v>35669.152856250003</v>
      </c>
      <c r="J34" s="60"/>
      <c r="K34" s="63"/>
      <c r="L34" s="63"/>
    </row>
    <row r="35" spans="1:12" ht="15" customHeight="1" x14ac:dyDescent="0.25">
      <c r="A35" s="63"/>
      <c r="B35" s="206" t="s">
        <v>417</v>
      </c>
      <c r="C35" s="205" t="s">
        <v>63</v>
      </c>
      <c r="D35" s="214">
        <f t="shared" ref="D35:I35" si="7">D7-D34</f>
        <v>-25381.445400000008</v>
      </c>
      <c r="E35" s="214">
        <f t="shared" si="7"/>
        <v>-4824.8588249999993</v>
      </c>
      <c r="F35" s="214">
        <f t="shared" si="7"/>
        <v>-6318.6471000000001</v>
      </c>
      <c r="G35" s="213">
        <f t="shared" si="7"/>
        <v>761.20102500000576</v>
      </c>
      <c r="H35" s="213">
        <f t="shared" si="7"/>
        <v>2486.7447750000065</v>
      </c>
      <c r="I35" s="213">
        <f t="shared" si="7"/>
        <v>4734.8471437500048</v>
      </c>
      <c r="J35" s="60"/>
      <c r="K35" s="63"/>
      <c r="L35" s="63"/>
    </row>
    <row r="36" spans="1:12" ht="36" customHeight="1" x14ac:dyDescent="0.25">
      <c r="A36" s="63"/>
      <c r="B36" s="207" t="s">
        <v>64</v>
      </c>
      <c r="C36" s="15" t="s">
        <v>65</v>
      </c>
      <c r="D36" s="212">
        <f>'App3&amp;4. Int&amp;Dep'!$G$22</f>
        <v>160</v>
      </c>
      <c r="E36" s="212">
        <f>'App3&amp;4. Int&amp;Dep'!$G$22</f>
        <v>160</v>
      </c>
      <c r="F36" s="212">
        <f>'App3&amp;4. Int&amp;Dep'!$G$22</f>
        <v>160</v>
      </c>
      <c r="G36" s="212">
        <f>'App3&amp;4. Int&amp;Dep'!$G$22</f>
        <v>160</v>
      </c>
      <c r="H36" s="212">
        <f>'App3&amp;4. Int&amp;Dep'!$G$22</f>
        <v>160</v>
      </c>
      <c r="I36" s="212">
        <f>'App3&amp;4. Int&amp;Dep'!$G$22</f>
        <v>160</v>
      </c>
      <c r="J36" s="60"/>
    </row>
    <row r="37" spans="1:12" ht="14.4" x14ac:dyDescent="0.3">
      <c r="A37" s="63"/>
      <c r="B37" s="207" t="s">
        <v>64</v>
      </c>
      <c r="C37" s="15" t="s">
        <v>422</v>
      </c>
      <c r="D37" s="212">
        <f>'App3&amp;4. Int&amp;Dep'!$G$23</f>
        <v>500</v>
      </c>
      <c r="E37" s="212">
        <f>'App3&amp;4. Int&amp;Dep'!$G$23</f>
        <v>500</v>
      </c>
      <c r="F37" s="212">
        <f>'App3&amp;4. Int&amp;Dep'!$G$23</f>
        <v>500</v>
      </c>
      <c r="G37" s="212">
        <f>'App3&amp;4. Int&amp;Dep'!$G$23</f>
        <v>500</v>
      </c>
      <c r="H37" s="212">
        <f>'App3&amp;4. Int&amp;Dep'!$G$23</f>
        <v>500</v>
      </c>
      <c r="I37" s="212">
        <f>'App3&amp;4. Int&amp;Dep'!$G$23</f>
        <v>500</v>
      </c>
      <c r="J37" s="60"/>
    </row>
    <row r="38" spans="1:12" x14ac:dyDescent="0.25">
      <c r="A38" s="63"/>
      <c r="B38" s="207" t="s">
        <v>64</v>
      </c>
      <c r="C38" s="15" t="s">
        <v>66</v>
      </c>
      <c r="D38" s="212">
        <f>'App3&amp;4. Int&amp;Dep'!$G$28</f>
        <v>306.93333333333334</v>
      </c>
      <c r="E38" s="212">
        <f>'App3&amp;4. Int&amp;Dep'!$G$28</f>
        <v>306.93333333333334</v>
      </c>
      <c r="F38" s="212">
        <f>'App3&amp;4. Int&amp;Dep'!$G$28</f>
        <v>306.93333333333334</v>
      </c>
      <c r="G38" s="212">
        <f>'App3&amp;4. Int&amp;Dep'!$G$28</f>
        <v>306.93333333333334</v>
      </c>
      <c r="H38" s="212">
        <f>'App3&amp;4. Int&amp;Dep'!$G$28</f>
        <v>306.93333333333334</v>
      </c>
      <c r="I38" s="212">
        <f>'App3&amp;4. Int&amp;Dep'!$G$28</f>
        <v>306.93333333333334</v>
      </c>
      <c r="J38" s="60"/>
    </row>
    <row r="39" spans="1:12" x14ac:dyDescent="0.25">
      <c r="A39" s="63"/>
      <c r="B39" s="207" t="s">
        <v>64</v>
      </c>
      <c r="C39" s="15" t="s">
        <v>67</v>
      </c>
      <c r="D39" s="212">
        <f>'App3&amp;4. Int&amp;Dep'!$G$24</f>
        <v>30</v>
      </c>
      <c r="E39" s="212">
        <f>'App3&amp;4. Int&amp;Dep'!$G$24</f>
        <v>30</v>
      </c>
      <c r="F39" s="212">
        <f>'App3&amp;4. Int&amp;Dep'!$G$24</f>
        <v>30</v>
      </c>
      <c r="G39" s="212">
        <f>'App3&amp;4. Int&amp;Dep'!$G$24</f>
        <v>30</v>
      </c>
      <c r="H39" s="212">
        <f>'App3&amp;4. Int&amp;Dep'!$G$24</f>
        <v>30</v>
      </c>
      <c r="I39" s="212">
        <f>'App3&amp;4. Int&amp;Dep'!$G$24</f>
        <v>30</v>
      </c>
      <c r="J39" s="60"/>
    </row>
    <row r="40" spans="1:12" x14ac:dyDescent="0.25">
      <c r="A40" s="63"/>
      <c r="B40" s="207" t="s">
        <v>64</v>
      </c>
      <c r="C40" s="15" t="s">
        <v>68</v>
      </c>
      <c r="D40" s="212">
        <f>'App3&amp;4. Int&amp;Dep'!$G$25</f>
        <v>60</v>
      </c>
      <c r="E40" s="212">
        <f>'App3&amp;4. Int&amp;Dep'!$G$25</f>
        <v>60</v>
      </c>
      <c r="F40" s="212">
        <f>'App3&amp;4. Int&amp;Dep'!$G$25</f>
        <v>60</v>
      </c>
      <c r="G40" s="212">
        <f>'App3&amp;4. Int&amp;Dep'!$G$25</f>
        <v>60</v>
      </c>
      <c r="H40" s="212">
        <f>'App3&amp;4. Int&amp;Dep'!$G$25</f>
        <v>60</v>
      </c>
      <c r="I40" s="212">
        <f>'App3&amp;4. Int&amp;Dep'!$G$25</f>
        <v>60</v>
      </c>
      <c r="J40" s="60"/>
    </row>
    <row r="41" spans="1:12" x14ac:dyDescent="0.25">
      <c r="A41" s="63"/>
      <c r="B41" s="207" t="s">
        <v>64</v>
      </c>
      <c r="C41" s="15" t="s">
        <v>69</v>
      </c>
      <c r="D41" s="212">
        <f>'App3&amp;4. Int&amp;Dep'!$G$26</f>
        <v>416.5</v>
      </c>
      <c r="E41" s="212">
        <f>'App3&amp;4. Int&amp;Dep'!$G$26</f>
        <v>416.5</v>
      </c>
      <c r="F41" s="212">
        <f>'App3&amp;4. Int&amp;Dep'!$G$26</f>
        <v>416.5</v>
      </c>
      <c r="G41" s="212">
        <f>'App3&amp;4. Int&amp;Dep'!$G$26</f>
        <v>416.5</v>
      </c>
      <c r="H41" s="212">
        <f>'App3&amp;4. Int&amp;Dep'!$G$26</f>
        <v>416.5</v>
      </c>
      <c r="I41" s="212">
        <f>'App3&amp;4. Int&amp;Dep'!$G$26</f>
        <v>416.5</v>
      </c>
      <c r="J41" s="60"/>
    </row>
    <row r="42" spans="1:12" x14ac:dyDescent="0.25">
      <c r="A42" s="63"/>
      <c r="B42" s="207" t="s">
        <v>64</v>
      </c>
      <c r="C42" s="15" t="s">
        <v>70</v>
      </c>
      <c r="D42" s="212">
        <f>'App3&amp;4. Int&amp;Dep'!$G$27</f>
        <v>133.86133333333333</v>
      </c>
      <c r="E42" s="212">
        <f>'App3&amp;4. Int&amp;Dep'!$G$27</f>
        <v>133.86133333333333</v>
      </c>
      <c r="F42" s="212">
        <f>'App3&amp;4. Int&amp;Dep'!$G$27</f>
        <v>133.86133333333333</v>
      </c>
      <c r="G42" s="212">
        <f>'App3&amp;4. Int&amp;Dep'!$G$27</f>
        <v>133.86133333333333</v>
      </c>
      <c r="H42" s="212">
        <f>'App3&amp;4. Int&amp;Dep'!$G$27</f>
        <v>133.86133333333333</v>
      </c>
      <c r="I42" s="212">
        <f>'App3&amp;4. Int&amp;Dep'!$G$27</f>
        <v>133.86133333333333</v>
      </c>
      <c r="J42" s="60"/>
    </row>
    <row r="43" spans="1:12" x14ac:dyDescent="0.25">
      <c r="A43" s="63"/>
      <c r="B43" s="202" t="s">
        <v>71</v>
      </c>
      <c r="C43" s="15" t="s">
        <v>65</v>
      </c>
      <c r="D43" s="212">
        <f>'App3&amp;4. Int&amp;Dep'!$G$4</f>
        <v>120</v>
      </c>
      <c r="E43" s="212">
        <f>'App3&amp;4. Int&amp;Dep'!$G$4</f>
        <v>120</v>
      </c>
      <c r="F43" s="212">
        <f>'App3&amp;4. Int&amp;Dep'!$G$4</f>
        <v>120</v>
      </c>
      <c r="G43" s="212">
        <f>'App3&amp;4. Int&amp;Dep'!$G$4</f>
        <v>120</v>
      </c>
      <c r="H43" s="212">
        <f>'App3&amp;4. Int&amp;Dep'!$G$4</f>
        <v>120</v>
      </c>
      <c r="I43" s="212">
        <f>'App3&amp;4. Int&amp;Dep'!$G$4</f>
        <v>120</v>
      </c>
      <c r="J43" s="60"/>
    </row>
    <row r="44" spans="1:12" ht="14.4" x14ac:dyDescent="0.3">
      <c r="A44" s="63"/>
      <c r="B44" s="202" t="s">
        <v>71</v>
      </c>
      <c r="C44" s="15" t="s">
        <v>422</v>
      </c>
      <c r="D44" s="212">
        <f>'App3&amp;4. Int&amp;Dep'!$G$5</f>
        <v>250</v>
      </c>
      <c r="E44" s="212">
        <f>'App3&amp;4. Int&amp;Dep'!$G$5</f>
        <v>250</v>
      </c>
      <c r="F44" s="212">
        <f>'App3&amp;4. Int&amp;Dep'!$G$5</f>
        <v>250</v>
      </c>
      <c r="G44" s="212">
        <f>'App3&amp;4. Int&amp;Dep'!$G$5</f>
        <v>250</v>
      </c>
      <c r="H44" s="212">
        <f>'App3&amp;4. Int&amp;Dep'!$G$5</f>
        <v>250</v>
      </c>
      <c r="I44" s="212">
        <f>'App3&amp;4. Int&amp;Dep'!$G$5</f>
        <v>250</v>
      </c>
      <c r="J44" s="60"/>
    </row>
    <row r="45" spans="1:12" ht="16.8" x14ac:dyDescent="0.25">
      <c r="A45" s="63"/>
      <c r="B45" s="202" t="s">
        <v>71</v>
      </c>
      <c r="C45" s="15" t="s">
        <v>388</v>
      </c>
      <c r="D45" s="212">
        <f>'App3&amp;4. Int&amp;Dep'!$G$6</f>
        <v>1000</v>
      </c>
      <c r="E45" s="212">
        <f>'App3&amp;4. Int&amp;Dep'!$G$6</f>
        <v>1000</v>
      </c>
      <c r="F45" s="212">
        <f>'App3&amp;4. Int&amp;Dep'!$G$6</f>
        <v>1000</v>
      </c>
      <c r="G45" s="212">
        <f>'App3&amp;4. Int&amp;Dep'!$G$6</f>
        <v>1000</v>
      </c>
      <c r="H45" s="212">
        <f>'App3&amp;4. Int&amp;Dep'!$G$6</f>
        <v>1000</v>
      </c>
      <c r="I45" s="212">
        <f>'App3&amp;4. Int&amp;Dep'!$G$6</f>
        <v>1000</v>
      </c>
      <c r="J45" s="60"/>
    </row>
    <row r="46" spans="1:12" x14ac:dyDescent="0.25">
      <c r="A46" s="63"/>
      <c r="B46" s="202" t="s">
        <v>71</v>
      </c>
      <c r="C46" s="15" t="s">
        <v>66</v>
      </c>
      <c r="D46" s="212">
        <f>'App3&amp;4. Int&amp;Dep'!$G$7</f>
        <v>106.4</v>
      </c>
      <c r="E46" s="212">
        <f>'App3&amp;4. Int&amp;Dep'!$G$7</f>
        <v>106.4</v>
      </c>
      <c r="F46" s="212">
        <f>'App3&amp;4. Int&amp;Dep'!$G$7</f>
        <v>106.4</v>
      </c>
      <c r="G46" s="212">
        <f>'App3&amp;4. Int&amp;Dep'!$G$7</f>
        <v>106.4</v>
      </c>
      <c r="H46" s="212">
        <f>'App3&amp;4. Int&amp;Dep'!$G$7</f>
        <v>106.4</v>
      </c>
      <c r="I46" s="212">
        <f>'App3&amp;4. Int&amp;Dep'!$G$7</f>
        <v>106.4</v>
      </c>
      <c r="J46" s="60"/>
    </row>
    <row r="47" spans="1:12" x14ac:dyDescent="0.25">
      <c r="A47" s="63"/>
      <c r="B47" s="202" t="s">
        <v>71</v>
      </c>
      <c r="C47" s="15" t="s">
        <v>67</v>
      </c>
      <c r="D47" s="212">
        <f>'App3&amp;4. Int&amp;Dep'!$G$8</f>
        <v>22.5</v>
      </c>
      <c r="E47" s="212">
        <f>'App3&amp;4. Int&amp;Dep'!$G$8</f>
        <v>22.5</v>
      </c>
      <c r="F47" s="212">
        <f>'App3&amp;4. Int&amp;Dep'!$G$8</f>
        <v>22.5</v>
      </c>
      <c r="G47" s="212">
        <f>'App3&amp;4. Int&amp;Dep'!$G$8</f>
        <v>22.5</v>
      </c>
      <c r="H47" s="212">
        <f>'App3&amp;4. Int&amp;Dep'!$G$8</f>
        <v>22.5</v>
      </c>
      <c r="I47" s="212">
        <f>'App3&amp;4. Int&amp;Dep'!$G$8</f>
        <v>22.5</v>
      </c>
      <c r="J47" s="60"/>
    </row>
    <row r="48" spans="1:12" x14ac:dyDescent="0.25">
      <c r="A48" s="63"/>
      <c r="B48" s="202" t="s">
        <v>71</v>
      </c>
      <c r="C48" s="15" t="s">
        <v>68</v>
      </c>
      <c r="D48" s="212">
        <f>'App3&amp;4. Int&amp;Dep'!$G$9</f>
        <v>75</v>
      </c>
      <c r="E48" s="212">
        <f>'App3&amp;4. Int&amp;Dep'!$G$9</f>
        <v>75</v>
      </c>
      <c r="F48" s="212">
        <f>'App3&amp;4. Int&amp;Dep'!$G$9</f>
        <v>75</v>
      </c>
      <c r="G48" s="212">
        <f>'App3&amp;4. Int&amp;Dep'!$G$9</f>
        <v>75</v>
      </c>
      <c r="H48" s="212">
        <f>'App3&amp;4. Int&amp;Dep'!$G$9</f>
        <v>75</v>
      </c>
      <c r="I48" s="212">
        <f>'App3&amp;4. Int&amp;Dep'!$G$9</f>
        <v>75</v>
      </c>
      <c r="J48" s="60"/>
    </row>
    <row r="49" spans="1:13" x14ac:dyDescent="0.25">
      <c r="A49" s="63"/>
      <c r="B49" s="202" t="s">
        <v>71</v>
      </c>
      <c r="C49" s="15" t="s">
        <v>69</v>
      </c>
      <c r="D49" s="212">
        <f>'App3&amp;4. Int&amp;Dep'!$G$10</f>
        <v>208.25</v>
      </c>
      <c r="E49" s="212">
        <f>'App3&amp;4. Int&amp;Dep'!$G$10</f>
        <v>208.25</v>
      </c>
      <c r="F49" s="212">
        <f>'App3&amp;4. Int&amp;Dep'!$G$10</f>
        <v>208.25</v>
      </c>
      <c r="G49" s="212">
        <f>'App3&amp;4. Int&amp;Dep'!$G$10</f>
        <v>208.25</v>
      </c>
      <c r="H49" s="212">
        <f>'App3&amp;4. Int&amp;Dep'!$G$10</f>
        <v>208.25</v>
      </c>
      <c r="I49" s="212">
        <f>'App3&amp;4. Int&amp;Dep'!$G$10</f>
        <v>208.25</v>
      </c>
      <c r="J49" s="60"/>
    </row>
    <row r="50" spans="1:13" x14ac:dyDescent="0.25">
      <c r="A50" s="63"/>
      <c r="B50" s="202" t="s">
        <v>71</v>
      </c>
      <c r="C50" s="15" t="s">
        <v>72</v>
      </c>
      <c r="D50" s="212">
        <f>'App3&amp;4. Int&amp;Dep'!$G$11</f>
        <v>100.396</v>
      </c>
      <c r="E50" s="212">
        <f>'App3&amp;4. Int&amp;Dep'!$G$11</f>
        <v>100.396</v>
      </c>
      <c r="F50" s="212">
        <f>'App3&amp;4. Int&amp;Dep'!$G$11</f>
        <v>100.396</v>
      </c>
      <c r="G50" s="212">
        <f>'App3&amp;4. Int&amp;Dep'!$G$11</f>
        <v>100.396</v>
      </c>
      <c r="H50" s="212">
        <f>'App3&amp;4. Int&amp;Dep'!$G$11</f>
        <v>100.396</v>
      </c>
      <c r="I50" s="212">
        <f>'App3&amp;4. Int&amp;Dep'!$G$11</f>
        <v>100.396</v>
      </c>
      <c r="J50" s="60"/>
      <c r="K50" s="63"/>
      <c r="L50" s="63"/>
      <c r="M50" s="63"/>
    </row>
    <row r="51" spans="1:13" x14ac:dyDescent="0.25">
      <c r="A51" s="63"/>
      <c r="B51" s="202" t="s">
        <v>71</v>
      </c>
      <c r="C51" s="15" t="s">
        <v>73</v>
      </c>
      <c r="D51" s="212">
        <v>0</v>
      </c>
      <c r="E51" s="212">
        <f>D59*'App9. Data for tables'!$C$75</f>
        <v>1481.0643033333338</v>
      </c>
      <c r="F51" s="212">
        <f>E59*'App9. Data for tables'!$D$75</f>
        <v>2008.3524930833337</v>
      </c>
      <c r="G51" s="212">
        <f>F59*'App9. Data for tables'!$E$75</f>
        <v>2636.694506070834</v>
      </c>
      <c r="H51" s="212">
        <f>G59*'App9. Data for tables'!$F$75</f>
        <v>2942.4612134577092</v>
      </c>
      <c r="I51" s="212">
        <v>0</v>
      </c>
      <c r="J51" s="60"/>
      <c r="K51" s="63"/>
      <c r="L51" s="63"/>
      <c r="M51" s="63"/>
    </row>
    <row r="52" spans="1:13" x14ac:dyDescent="0.25">
      <c r="A52" s="63"/>
      <c r="B52" s="15" t="s">
        <v>423</v>
      </c>
      <c r="C52" s="15" t="s">
        <v>74</v>
      </c>
      <c r="D52" s="212">
        <f>'App5. Estab Costs'!$F$32</f>
        <v>750</v>
      </c>
      <c r="E52" s="212">
        <f>'App5. Estab Costs'!$F$48</f>
        <v>750</v>
      </c>
      <c r="F52" s="212">
        <f>'App5. Estab Costs'!$F$65</f>
        <v>750</v>
      </c>
      <c r="G52" s="212">
        <f>'App5. Estab Costs'!$F$88</f>
        <v>750</v>
      </c>
      <c r="H52" s="212">
        <f>'App5. Estab Costs'!$F$110</f>
        <v>750</v>
      </c>
      <c r="I52" s="212">
        <f>'App6. Full Prod Costs'!$E$21</f>
        <v>750</v>
      </c>
      <c r="J52" s="60"/>
      <c r="K52" s="63"/>
      <c r="L52" s="63"/>
      <c r="M52" s="63"/>
    </row>
    <row r="53" spans="1:13" ht="16.8" x14ac:dyDescent="0.25">
      <c r="A53" s="63"/>
      <c r="B53" s="15" t="s">
        <v>423</v>
      </c>
      <c r="C53" s="15" t="s">
        <v>389</v>
      </c>
      <c r="D53" s="212">
        <v>0</v>
      </c>
      <c r="E53" s="212">
        <v>0</v>
      </c>
      <c r="F53" s="212">
        <v>0</v>
      </c>
      <c r="G53" s="212">
        <v>0</v>
      </c>
      <c r="H53" s="212">
        <v>0</v>
      </c>
      <c r="I53" s="212">
        <f>-'App8. Amort Calc'!C8</f>
        <v>6122.0496032272986</v>
      </c>
      <c r="J53" s="60"/>
      <c r="K53" s="63"/>
      <c r="L53" s="63"/>
      <c r="M53" s="63"/>
    </row>
    <row r="54" spans="1:13" ht="41.4" x14ac:dyDescent="0.25">
      <c r="A54" s="63"/>
      <c r="B54" s="206" t="s">
        <v>424</v>
      </c>
      <c r="C54" s="205" t="s">
        <v>75</v>
      </c>
      <c r="D54" s="213">
        <f t="shared" ref="D54:H54" si="8">SUM(D36:D53)</f>
        <v>4239.8406666666669</v>
      </c>
      <c r="E54" s="213">
        <f t="shared" si="8"/>
        <v>5720.9049700000005</v>
      </c>
      <c r="F54" s="213">
        <f t="shared" si="8"/>
        <v>6248.1931597500006</v>
      </c>
      <c r="G54" s="213">
        <f t="shared" si="8"/>
        <v>6876.5351727375009</v>
      </c>
      <c r="H54" s="213">
        <f t="shared" si="8"/>
        <v>7182.3018801243761</v>
      </c>
      <c r="I54" s="213">
        <f>SUM(I36:I53)</f>
        <v>10361.890269893966</v>
      </c>
      <c r="J54" s="60"/>
      <c r="K54" s="63"/>
      <c r="L54" s="63"/>
      <c r="M54" s="63"/>
    </row>
    <row r="55" spans="1:13" ht="36" customHeight="1" x14ac:dyDescent="0.25">
      <c r="A55" s="63"/>
      <c r="B55" s="204" t="s">
        <v>417</v>
      </c>
      <c r="C55" s="205" t="s">
        <v>76</v>
      </c>
      <c r="D55" s="215">
        <f t="shared" ref="D55:I55" si="9">D7-SUM(D34,D36:D42)</f>
        <v>-26988.740066666676</v>
      </c>
      <c r="E55" s="215">
        <f t="shared" si="9"/>
        <v>-6432.153491666666</v>
      </c>
      <c r="F55" s="215">
        <f t="shared" si="9"/>
        <v>-7925.9417666666668</v>
      </c>
      <c r="G55" s="215">
        <f t="shared" si="9"/>
        <v>-846.09364166666273</v>
      </c>
      <c r="H55" s="216">
        <f t="shared" si="9"/>
        <v>879.45010833333799</v>
      </c>
      <c r="I55" s="216">
        <f t="shared" si="9"/>
        <v>3127.5524770833363</v>
      </c>
      <c r="J55" s="60"/>
      <c r="K55" s="63"/>
      <c r="L55" s="63"/>
      <c r="M55" s="63"/>
    </row>
    <row r="56" spans="1:13" ht="36" customHeight="1" x14ac:dyDescent="0.25">
      <c r="A56" s="63"/>
      <c r="B56" s="206" t="s">
        <v>425</v>
      </c>
      <c r="C56" s="205" t="s">
        <v>77</v>
      </c>
      <c r="D56" s="213">
        <f t="shared" ref="D56:I56" si="10">D33+D54</f>
        <v>5229.8406666666669</v>
      </c>
      <c r="E56" s="213">
        <f t="shared" si="10"/>
        <v>6710.9049700000005</v>
      </c>
      <c r="F56" s="213">
        <f t="shared" si="10"/>
        <v>7238.1931597500006</v>
      </c>
      <c r="G56" s="213">
        <f t="shared" si="10"/>
        <v>7866.5351727375009</v>
      </c>
      <c r="H56" s="213">
        <f t="shared" si="10"/>
        <v>8172.3018801243761</v>
      </c>
      <c r="I56" s="213">
        <f t="shared" si="10"/>
        <v>11351.890269893966</v>
      </c>
      <c r="J56" s="60"/>
      <c r="K56" s="63"/>
      <c r="L56" s="63"/>
      <c r="M56" s="63"/>
    </row>
    <row r="57" spans="1:13" ht="36" customHeight="1" x14ac:dyDescent="0.25">
      <c r="A57" s="63"/>
      <c r="B57" s="204" t="s">
        <v>426</v>
      </c>
      <c r="C57" s="96" t="s">
        <v>427</v>
      </c>
      <c r="D57" s="213">
        <f t="shared" ref="D57:I57" si="11">D28+D56</f>
        <v>29621.286066666675</v>
      </c>
      <c r="E57" s="213">
        <f t="shared" si="11"/>
        <v>10545.763795000001</v>
      </c>
      <c r="F57" s="213">
        <f t="shared" si="11"/>
        <v>12566.840259750001</v>
      </c>
      <c r="G57" s="213">
        <f t="shared" si="11"/>
        <v>30979.3341477375</v>
      </c>
      <c r="H57" s="213">
        <f t="shared" si="11"/>
        <v>37329.557105124375</v>
      </c>
      <c r="I57" s="213">
        <f t="shared" si="11"/>
        <v>46031.043126143966</v>
      </c>
      <c r="J57" s="60"/>
      <c r="K57" s="63"/>
      <c r="L57" s="63"/>
      <c r="M57" s="63"/>
    </row>
    <row r="58" spans="1:13" ht="36" customHeight="1" x14ac:dyDescent="0.25">
      <c r="A58" s="63"/>
      <c r="B58" s="206" t="s">
        <v>428</v>
      </c>
      <c r="C58" s="96" t="s">
        <v>78</v>
      </c>
      <c r="D58" s="214">
        <f t="shared" ref="D58:I58" si="12">D7-D57</f>
        <v>-29621.286066666675</v>
      </c>
      <c r="E58" s="214">
        <f t="shared" si="12"/>
        <v>-10545.763795000001</v>
      </c>
      <c r="F58" s="214">
        <f t="shared" si="12"/>
        <v>-12566.840259750001</v>
      </c>
      <c r="G58" s="214">
        <f t="shared" si="12"/>
        <v>-6115.3341477374961</v>
      </c>
      <c r="H58" s="214">
        <f t="shared" si="12"/>
        <v>-4695.5571051243714</v>
      </c>
      <c r="I58" s="214">
        <f t="shared" si="12"/>
        <v>-5627.0431261439589</v>
      </c>
      <c r="J58" s="60"/>
      <c r="K58" s="63"/>
      <c r="L58" s="150"/>
      <c r="M58" s="63"/>
    </row>
    <row r="59" spans="1:13" s="63" customFormat="1" ht="36" customHeight="1" x14ac:dyDescent="0.25">
      <c r="B59" s="208" t="s">
        <v>429</v>
      </c>
      <c r="C59" s="209" t="s">
        <v>79</v>
      </c>
      <c r="D59" s="217">
        <f>D57-D7</f>
        <v>29621.286066666675</v>
      </c>
      <c r="E59" s="217">
        <f>SUM(D57:E57)-SUM(D7:E7)</f>
        <v>40167.049861666674</v>
      </c>
      <c r="F59" s="217">
        <f>SUM(D57:F57)-SUM(D7:F7)</f>
        <v>52733.890121416676</v>
      </c>
      <c r="G59" s="217">
        <f>SUM(D57:G57)-SUM(D7:G7)</f>
        <v>58849.224269154176</v>
      </c>
      <c r="H59" s="217">
        <f>SUM(D57:H57)-SUM(D7:H7)</f>
        <v>63544.781374278544</v>
      </c>
      <c r="I59" s="217"/>
      <c r="J59" s="60"/>
    </row>
    <row r="60" spans="1:13" x14ac:dyDescent="0.3">
      <c r="A60" s="63"/>
      <c r="B60" s="43" t="s">
        <v>80</v>
      </c>
      <c r="C60" s="61"/>
      <c r="D60" s="218"/>
      <c r="E60" s="218"/>
      <c r="F60" s="218"/>
      <c r="G60" s="218"/>
      <c r="H60" s="218"/>
      <c r="I60" s="60"/>
    </row>
    <row r="61" spans="1:13" s="63" customFormat="1" ht="18" customHeight="1" x14ac:dyDescent="0.3">
      <c r="B61" s="43" t="s">
        <v>390</v>
      </c>
      <c r="C61" s="61"/>
      <c r="D61" s="218"/>
      <c r="E61" s="218"/>
      <c r="F61" s="218"/>
      <c r="G61" s="218"/>
      <c r="H61" s="218"/>
      <c r="I61" s="60"/>
    </row>
    <row r="62" spans="1:13" s="63" customFormat="1" ht="36" customHeight="1" x14ac:dyDescent="0.3">
      <c r="B62" s="302" t="s">
        <v>391</v>
      </c>
      <c r="C62" s="302"/>
      <c r="D62" s="302"/>
      <c r="E62" s="302"/>
      <c r="F62" s="302"/>
      <c r="G62" s="302"/>
      <c r="H62" s="302"/>
      <c r="I62" s="302"/>
    </row>
    <row r="63" spans="1:13" ht="18.75" customHeight="1" x14ac:dyDescent="0.3">
      <c r="A63" s="149"/>
      <c r="B63" s="43" t="s">
        <v>392</v>
      </c>
      <c r="C63" s="60"/>
      <c r="D63" s="219"/>
      <c r="E63" s="219"/>
      <c r="F63" s="219"/>
      <c r="G63" s="219"/>
      <c r="H63" s="219"/>
      <c r="I63" s="60"/>
    </row>
    <row r="64" spans="1:13" ht="18" customHeight="1" x14ac:dyDescent="0.3">
      <c r="A64" s="149"/>
      <c r="B64" s="43" t="s">
        <v>393</v>
      </c>
      <c r="C64" s="60"/>
      <c r="D64" s="219"/>
      <c r="E64" s="219"/>
      <c r="F64" s="219"/>
      <c r="G64" s="219"/>
      <c r="H64" s="219"/>
      <c r="I64" s="60"/>
    </row>
    <row r="65" spans="1:9" ht="18" customHeight="1" x14ac:dyDescent="0.3">
      <c r="A65" s="149"/>
      <c r="B65" s="43" t="s">
        <v>394</v>
      </c>
      <c r="C65" s="60"/>
      <c r="D65" s="219"/>
      <c r="E65" s="219"/>
      <c r="F65" s="219"/>
      <c r="G65" s="219"/>
      <c r="H65" s="219"/>
      <c r="I65" s="60"/>
    </row>
    <row r="66" spans="1:9" ht="36" customHeight="1" x14ac:dyDescent="0.3">
      <c r="A66" s="149"/>
      <c r="B66" s="302" t="s">
        <v>395</v>
      </c>
      <c r="C66" s="302"/>
      <c r="D66" s="302"/>
      <c r="E66" s="302"/>
      <c r="F66" s="302"/>
      <c r="G66" s="302"/>
      <c r="H66" s="302"/>
      <c r="I66" s="302"/>
    </row>
    <row r="67" spans="1:9" ht="18" customHeight="1" x14ac:dyDescent="0.3">
      <c r="A67" s="149"/>
      <c r="B67" s="43" t="s">
        <v>396</v>
      </c>
      <c r="C67" s="60"/>
      <c r="D67" s="219"/>
      <c r="E67" s="219"/>
      <c r="F67" s="219"/>
      <c r="G67" s="219"/>
      <c r="H67" s="219"/>
      <c r="I67" s="60"/>
    </row>
    <row r="68" spans="1:9" ht="18" customHeight="1" x14ac:dyDescent="0.3">
      <c r="A68" s="149"/>
      <c r="B68" s="43" t="s">
        <v>397</v>
      </c>
      <c r="C68" s="60"/>
      <c r="D68" s="219"/>
      <c r="E68" s="219"/>
      <c r="F68" s="219"/>
      <c r="G68" s="219"/>
      <c r="H68" s="219"/>
      <c r="I68" s="60"/>
    </row>
    <row r="69" spans="1:9" ht="36" customHeight="1" x14ac:dyDescent="0.3">
      <c r="A69" s="149"/>
      <c r="B69" s="302" t="s">
        <v>398</v>
      </c>
      <c r="C69" s="302"/>
      <c r="D69" s="302"/>
      <c r="E69" s="302"/>
      <c r="F69" s="302"/>
      <c r="G69" s="302"/>
      <c r="H69" s="302"/>
      <c r="I69" s="302"/>
    </row>
    <row r="70" spans="1:9" ht="18" customHeight="1" x14ac:dyDescent="0.3">
      <c r="A70" s="149"/>
      <c r="B70" s="43" t="s">
        <v>399</v>
      </c>
      <c r="C70" s="63"/>
      <c r="D70" s="220"/>
      <c r="E70" s="220"/>
      <c r="F70" s="220"/>
      <c r="G70" s="220"/>
      <c r="H70" s="220"/>
      <c r="I70" s="63"/>
    </row>
    <row r="71" spans="1:9" ht="36" customHeight="1" x14ac:dyDescent="0.3">
      <c r="A71" s="149"/>
      <c r="B71" s="302" t="s">
        <v>400</v>
      </c>
      <c r="C71" s="302"/>
      <c r="D71" s="302"/>
      <c r="E71" s="302"/>
      <c r="F71" s="302"/>
      <c r="G71" s="302"/>
      <c r="H71" s="302"/>
      <c r="I71" s="302"/>
    </row>
    <row r="72" spans="1:9" ht="18" customHeight="1" x14ac:dyDescent="0.3">
      <c r="A72" s="149"/>
      <c r="B72" s="43" t="s">
        <v>401</v>
      </c>
      <c r="C72" s="43"/>
      <c r="D72" s="43"/>
      <c r="E72" s="43"/>
      <c r="F72" s="43"/>
      <c r="G72" s="43"/>
      <c r="H72" s="43"/>
      <c r="I72" s="43"/>
    </row>
    <row r="73" spans="1:9" ht="18" customHeight="1" x14ac:dyDescent="0.3">
      <c r="A73" s="149"/>
      <c r="B73" s="43" t="s">
        <v>402</v>
      </c>
      <c r="C73" s="63"/>
      <c r="D73" s="220"/>
      <c r="E73" s="220"/>
      <c r="F73" s="220"/>
      <c r="G73" s="220"/>
      <c r="H73" s="220"/>
      <c r="I73" s="63"/>
    </row>
    <row r="74" spans="1:9" ht="36" customHeight="1" x14ac:dyDescent="0.3">
      <c r="A74" s="149"/>
      <c r="B74" s="303" t="s">
        <v>403</v>
      </c>
      <c r="C74" s="303"/>
      <c r="D74" s="303"/>
      <c r="E74" s="303"/>
      <c r="F74" s="303"/>
      <c r="G74" s="303"/>
      <c r="H74" s="303"/>
      <c r="I74" s="303"/>
    </row>
  </sheetData>
  <protectedRanges>
    <protectedRange sqref="D4:I5" name="Est Production and Price"/>
  </protectedRanges>
  <mergeCells count="6">
    <mergeCell ref="B74:I74"/>
    <mergeCell ref="B2:I2"/>
    <mergeCell ref="B62:I62"/>
    <mergeCell ref="B66:I66"/>
    <mergeCell ref="B69:I69"/>
    <mergeCell ref="B71:I71"/>
  </mergeCells>
  <phoneticPr fontId="17" type="noConversion"/>
  <printOptions gridLines="1"/>
  <pageMargins left="0.25" right="0.25" top="0.25" bottom="0.25" header="0.3" footer="0.3"/>
  <pageSetup scale="64" orientation="portrait" r:id="rId1"/>
  <ignoredErrors>
    <ignoredError sqref="D40:H40 I40" formula="1"/>
    <ignoredError sqref="G4:H4 I4 G5:I5 D5:F6"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24"/>
  <sheetViews>
    <sheetView zoomScaleNormal="100" workbookViewId="0">
      <selection activeCell="B2" sqref="B2:F2"/>
    </sheetView>
  </sheetViews>
  <sheetFormatPr defaultColWidth="9.109375" defaultRowHeight="13.8" x14ac:dyDescent="0.25"/>
  <cols>
    <col min="1" max="1" width="6.6640625" style="9" customWidth="1"/>
    <col min="2" max="2" width="15.44140625" style="9" customWidth="1"/>
    <col min="3" max="3" width="15.33203125" style="9" customWidth="1"/>
    <col min="4" max="6" width="15.6640625" style="9" customWidth="1"/>
    <col min="7" max="7" width="9.109375" style="9"/>
    <col min="8" max="8" width="12.44140625" style="9" bestFit="1" customWidth="1"/>
    <col min="9" max="16384" width="9.109375" style="9"/>
  </cols>
  <sheetData>
    <row r="2" spans="1:14" ht="62.4" customHeight="1" x14ac:dyDescent="0.3">
      <c r="B2" s="301" t="s">
        <v>488</v>
      </c>
      <c r="C2" s="301"/>
      <c r="D2" s="301"/>
      <c r="E2" s="301"/>
      <c r="F2" s="301"/>
      <c r="G2" s="29"/>
      <c r="H2" s="30"/>
    </row>
    <row r="3" spans="1:14" ht="33" customHeight="1" x14ac:dyDescent="0.25">
      <c r="A3" s="31"/>
      <c r="B3" s="228" t="s">
        <v>81</v>
      </c>
      <c r="C3" s="228" t="s">
        <v>82</v>
      </c>
      <c r="D3" s="197" t="s">
        <v>436</v>
      </c>
      <c r="E3" s="197" t="s">
        <v>437</v>
      </c>
      <c r="F3" s="197" t="s">
        <v>438</v>
      </c>
    </row>
    <row r="4" spans="1:14" ht="14.4" x14ac:dyDescent="0.3">
      <c r="A4" s="31"/>
      <c r="B4" s="32">
        <v>73</v>
      </c>
      <c r="C4" s="191">
        <f>B4*$E$21</f>
        <v>58.400000000000006</v>
      </c>
      <c r="D4" s="19">
        <f>$C4*C$14-((SUM('Cosmic Crisp-Spindle Budget'!$I$10:$I$19,'App9. Data for tables'!$H$59*$B4,'App9. Data for tables'!$H$60*$B4,'App9. Data for tables'!$H$61*$B4,'App9. Data for tables'!$H$67*$B4,'Cosmic Crisp-Spindle Budget'!$I$24:$I$25))*((1+$C$17)*(1+0.75*$C$18)))-'Cosmic Crisp-Spindle Budget'!$I$56</f>
        <v>-13919.735313643965</v>
      </c>
      <c r="E4" s="19">
        <f>$C4*C$15-((SUM('Cosmic Crisp-Spindle Budget'!$I$10:$I$19,'App9. Data for tables'!$H$59*$B4,'App9. Data for tables'!$H$60*$B4,'App9. Data for tables'!$H$61*$B4,'App9. Data for tables'!$H$67*$B4,'Cosmic Crisp-Spindle Budget'!$I$24:$I$25))*((1+$C$17)*(1+0.75*$C$18)))-'Cosmic Crisp-Spindle Budget'!$I$56</f>
        <v>-6356.9353136439622</v>
      </c>
      <c r="F4" s="193">
        <f>$C4*C$16-((SUM('Cosmic Crisp-Spindle Budget'!$I$10:$I$19,'App9. Data for tables'!$H$59*$B4,'App9. Data for tables'!$H$60*$B4,'App9. Data for tables'!$H$61*$B4,'App9. Data for tables'!$H$67*$B4,'Cosmic Crisp-Spindle Budget'!$I$24:$I$25))*((1+$C$17)*(1+0.75*$C$18)))-'Cosmic Crisp-Spindle Budget'!$I$56</f>
        <v>2286.2646863560349</v>
      </c>
      <c r="H4" s="64"/>
      <c r="I4" s="64"/>
      <c r="J4" s="64"/>
      <c r="K4" s="64"/>
      <c r="L4" s="64"/>
      <c r="M4" s="64"/>
      <c r="N4" s="59"/>
    </row>
    <row r="5" spans="1:14" ht="19.95" customHeight="1" x14ac:dyDescent="0.25">
      <c r="B5" s="32">
        <v>78</v>
      </c>
      <c r="C5" s="191">
        <f>B5*$E$21</f>
        <v>62.400000000000006</v>
      </c>
      <c r="D5" s="19">
        <f>$C5*C$14-((SUM('Cosmic Crisp-Spindle Budget'!$I$10:$I$19,'App9. Data for tables'!$H$59*$B5,'App9. Data for tables'!$H$60*$B5,'App9. Data for tables'!$H$61*$B5,'App9. Data for tables'!$H$67*$B5,'Cosmic Crisp-Spindle Budget'!$I$24:$I$25))*((1+$C$17)*(1+0.75*$C$18)))-'Cosmic Crisp-Spindle Budget'!$I$56</f>
        <v>-13707.843126143964</v>
      </c>
      <c r="E5" s="19">
        <f>$C5*C$15-((SUM('Cosmic Crisp-Spindle Budget'!$I$10:$I$19,'App9. Data for tables'!$H$59*$B5,'App9. Data for tables'!$H$60*$B5,'App9. Data for tables'!$H$61*$B5,'App9. Data for tables'!$H$67*$B5,'Cosmic Crisp-Spindle Budget'!$I$24:$I$25))*((1+$C$17)*(1+0.75*$C$18)))-'Cosmic Crisp-Spindle Budget'!$I$56</f>
        <v>-5627.0431261439608</v>
      </c>
      <c r="F5" s="193">
        <f>$C5*C$16-((SUM('Cosmic Crisp-Spindle Budget'!$I$10:$I$19,'App9. Data for tables'!$H$59*$B5,'App9. Data for tables'!$H$60*$B5,'App9. Data for tables'!$H$61*$B5,'App9. Data for tables'!$H$67*$B5,'Cosmic Crisp-Spindle Budget'!$I$24:$I$25))*((1+$C$17)*(1+0.75*$C$18)))-'Cosmic Crisp-Spindle Budget'!$I$56</f>
        <v>3608.1568738560363</v>
      </c>
      <c r="H5" s="33"/>
    </row>
    <row r="6" spans="1:14" ht="19.95" customHeight="1" x14ac:dyDescent="0.25">
      <c r="B6" s="32">
        <v>83</v>
      </c>
      <c r="C6" s="191">
        <f>B6*$E$21</f>
        <v>66.400000000000006</v>
      </c>
      <c r="D6" s="19">
        <f>$C6*C$14-((SUM('Cosmic Crisp-Spindle Budget'!$I$10:$I$19,'App9. Data for tables'!$H$59*$B6,'App9. Data for tables'!$H$60*$B6,'App9. Data for tables'!$H$61*$B6,'App9. Data for tables'!$H$67*$B6,'Cosmic Crisp-Spindle Budget'!$I$24:$I$25))*((1+$C$17)*(1+0.75*$C$18)))-'Cosmic Crisp-Spindle Budget'!$I$56</f>
        <v>-13495.950938643962</v>
      </c>
      <c r="E6" s="19">
        <f>$C6*C$15-((SUM('Cosmic Crisp-Spindle Budget'!$I$10:$I$19,'App9. Data for tables'!$H$59*$B6,'App9. Data for tables'!$H$60*$B6,'App9. Data for tables'!$H$61*$B6,'App9. Data for tables'!$H$67*$B6,'Cosmic Crisp-Spindle Budget'!$I$24:$I$25))*((1+$C$17)*(1+0.75*$C$18)))-'Cosmic Crisp-Spindle Budget'!$I$56</f>
        <v>-4897.1509386439593</v>
      </c>
      <c r="F6" s="193">
        <f>$C6*C$16-((SUM('Cosmic Crisp-Spindle Budget'!$I$10:$I$19,'App9. Data for tables'!$H$59*$B6,'App9. Data for tables'!$H$60*$B6,'App9. Data for tables'!$H$61*$B6,'App9. Data for tables'!$H$67*$B6,'Cosmic Crisp-Spindle Budget'!$I$24:$I$25))*((1+$C$17)*(1+0.75*$C$18)))-'Cosmic Crisp-Spindle Budget'!$I$56</f>
        <v>4930.0490613560378</v>
      </c>
    </row>
    <row r="7" spans="1:14" ht="19.95" customHeight="1" x14ac:dyDescent="0.25">
      <c r="B7" s="32">
        <v>88</v>
      </c>
      <c r="C7" s="191">
        <f t="shared" ref="C7:C8" si="0">B7*$E$21</f>
        <v>70.400000000000006</v>
      </c>
      <c r="D7" s="19">
        <f>$C7*C$14-((SUM('Cosmic Crisp-Spindle Budget'!$I$10:$I$19,'App9. Data for tables'!$H$59*$B7,'App9. Data for tables'!$H$60*$B7,'App9. Data for tables'!$H$61*$B7,'App9. Data for tables'!$H$67*$B7,'Cosmic Crisp-Spindle Budget'!$I$24:$I$25))*((1+$C$17)*(1+0.75*$C$18)))-'Cosmic Crisp-Spindle Budget'!$I$56</f>
        <v>-13284.058751143968</v>
      </c>
      <c r="E7" s="19">
        <f>$C7*C$15-((SUM('Cosmic Crisp-Spindle Budget'!$I$10:$I$19,'App9. Data for tables'!$H$59*$B7,'App9. Data for tables'!$H$60*$B7,'App9. Data for tables'!$H$61*$B7,'App9. Data for tables'!$H$67*$B7,'Cosmic Crisp-Spindle Budget'!$I$24:$I$25))*((1+$C$17)*(1+0.75*$C$18)))-'Cosmic Crisp-Spindle Budget'!$I$56</f>
        <v>-4167.2587511439651</v>
      </c>
      <c r="F7" s="193">
        <f>$C7*C$16-((SUM('Cosmic Crisp-Spindle Budget'!$I$10:$I$19,'App9. Data for tables'!$H$59*$B7,'App9. Data for tables'!$H$60*$B7,'App9. Data for tables'!$H$61*$B7,'App9. Data for tables'!$H$67*$B7,'Cosmic Crisp-Spindle Budget'!$I$24:$I$25))*((1+$C$17)*(1+0.75*$C$18)))-'Cosmic Crisp-Spindle Budget'!$I$56</f>
        <v>6251.941248856032</v>
      </c>
    </row>
    <row r="8" spans="1:14" ht="19.95" customHeight="1" x14ac:dyDescent="0.25">
      <c r="B8" s="32">
        <v>93</v>
      </c>
      <c r="C8" s="191">
        <f t="shared" si="0"/>
        <v>74.400000000000006</v>
      </c>
      <c r="D8" s="19">
        <f>$C8*C$14-((SUM('Cosmic Crisp-Spindle Budget'!$I$10:$I$19,'App9. Data for tables'!$H$59*$B8,'App9. Data for tables'!$H$60*$B8,'App9. Data for tables'!$H$61*$B8,'App9. Data for tables'!$H$67*$B8,'Cosmic Crisp-Spindle Budget'!$I$24:$I$25))*((1+$C$17)*(1+0.75*$C$18)))-'Cosmic Crisp-Spindle Budget'!$I$56</f>
        <v>-13072.166563643967</v>
      </c>
      <c r="E8" s="19">
        <f>$C8*C$15-((SUM('Cosmic Crisp-Spindle Budget'!$I$10:$I$19,'App9. Data for tables'!$H$59*$B8,'App9. Data for tables'!$H$60*$B8,'App9. Data for tables'!$H$61*$B8,'App9. Data for tables'!$H$67*$B8,'Cosmic Crisp-Spindle Budget'!$I$24:$I$25))*((1+$C$17)*(1+0.75*$C$18)))-'Cosmic Crisp-Spindle Budget'!$I$56</f>
        <v>-3437.3665636439637</v>
      </c>
      <c r="F8" s="193">
        <f>$C8*C$16-((SUM('Cosmic Crisp-Spindle Budget'!$I$10:$I$19,'App9. Data for tables'!$H$59*$B8,'App9. Data for tables'!$H$60*$B8,'App9. Data for tables'!$H$61*$B8,'App9. Data for tables'!$H$67*$B8,'Cosmic Crisp-Spindle Budget'!$I$24:$I$25))*((1+$C$17)*(1+0.75*$C$18)))-'Cosmic Crisp-Spindle Budget'!$I$56</f>
        <v>7573.8334363560334</v>
      </c>
    </row>
    <row r="9" spans="1:14" ht="19.95" customHeight="1" x14ac:dyDescent="0.25">
      <c r="B9" s="225">
        <v>97</v>
      </c>
      <c r="C9" s="226">
        <f>B9*$E$21</f>
        <v>77.600000000000009</v>
      </c>
      <c r="D9" s="168">
        <f>$C9*C$14-((SUM('Cosmic Crisp-Spindle Budget'!$I$10:$I$19,'App9. Data for tables'!$H$59*$B9,'App9. Data for tables'!$H$60*$B9,'App9. Data for tables'!$H$61*$B9,'App9. Data for tables'!$H$67*$B9,'Cosmic Crisp-Spindle Budget'!$I$24:$I$25))*((1+$C$17)*(1+0.75*$C$18)))-'Cosmic Crisp-Spindle Budget'!$I$56</f>
        <v>-12902.652813643968</v>
      </c>
      <c r="E9" s="168">
        <f>$C9*C$15-((SUM('Cosmic Crisp-Spindle Budget'!$I$10:$I$19,'App9. Data for tables'!$H$59*$B9,'App9. Data for tables'!$H$60*$B9,'App9. Data for tables'!$H$61*$B9,'App9. Data for tables'!$H$67*$B9,'Cosmic Crisp-Spindle Budget'!$I$24:$I$25))*((1+$C$17)*(1+0.75*$C$18)))-'Cosmic Crisp-Spindle Budget'!$I$56</f>
        <v>-2853.452813643964</v>
      </c>
      <c r="F9" s="227">
        <f>$C9*C$16-((SUM('Cosmic Crisp-Spindle Budget'!$I$10:$I$19,'App9. Data for tables'!$H$59*$B9,'App9. Data for tables'!$H$60*$B9,'App9. Data for tables'!$H$61*$B9,'App9. Data for tables'!$H$67*$B9,'Cosmic Crisp-Spindle Budget'!$I$24:$I$25))*((1+$C$17)*(1+0.75*$C$18)))-'Cosmic Crisp-Spindle Budget'!$I$56</f>
        <v>8631.3471863560389</v>
      </c>
    </row>
    <row r="10" spans="1:14" s="47" customFormat="1" ht="15" customHeight="1" x14ac:dyDescent="0.3">
      <c r="B10" s="44" t="s">
        <v>80</v>
      </c>
      <c r="C10" s="44"/>
      <c r="D10" s="45"/>
      <c r="E10" s="48"/>
      <c r="F10" s="48"/>
    </row>
    <row r="11" spans="1:14" s="47" customFormat="1" ht="19.95" customHeight="1" x14ac:dyDescent="0.3">
      <c r="B11" s="44" t="s">
        <v>359</v>
      </c>
      <c r="C11" s="44"/>
      <c r="D11" s="45"/>
      <c r="E11" s="48"/>
      <c r="F11" s="48"/>
      <c r="G11" s="48"/>
      <c r="H11" s="182"/>
    </row>
    <row r="12" spans="1:14" s="47" customFormat="1" ht="19.95" customHeight="1" x14ac:dyDescent="0.3">
      <c r="B12" s="44" t="s">
        <v>360</v>
      </c>
      <c r="C12" s="44"/>
      <c r="D12" s="45"/>
      <c r="E12" s="48"/>
      <c r="F12" s="48"/>
      <c r="G12" s="48"/>
      <c r="H12" s="182"/>
    </row>
    <row r="13" spans="1:14" s="47" customFormat="1" ht="28.8" customHeight="1" x14ac:dyDescent="0.3">
      <c r="B13" s="304" t="s">
        <v>431</v>
      </c>
      <c r="C13" s="304"/>
      <c r="D13" s="304"/>
      <c r="E13" s="304"/>
      <c r="F13" s="304"/>
      <c r="G13" s="48"/>
      <c r="H13" s="182"/>
    </row>
    <row r="14" spans="1:14" s="47" customFormat="1" ht="18" customHeight="1" x14ac:dyDescent="0.3">
      <c r="B14" s="44" t="s">
        <v>432</v>
      </c>
      <c r="C14" s="223">
        <v>518</v>
      </c>
      <c r="D14" s="222"/>
      <c r="E14" s="222"/>
      <c r="F14" s="222"/>
      <c r="G14" s="48"/>
      <c r="H14" s="182"/>
    </row>
    <row r="15" spans="1:14" s="47" customFormat="1" ht="18" customHeight="1" x14ac:dyDescent="0.3">
      <c r="B15" s="44" t="s">
        <v>433</v>
      </c>
      <c r="C15" s="223">
        <v>647.5</v>
      </c>
      <c r="D15" s="222"/>
      <c r="E15" s="222"/>
      <c r="F15" s="222"/>
      <c r="G15" s="48"/>
      <c r="H15" s="182"/>
    </row>
    <row r="16" spans="1:14" s="47" customFormat="1" ht="18" customHeight="1" x14ac:dyDescent="0.3">
      <c r="B16" s="44" t="s">
        <v>434</v>
      </c>
      <c r="C16" s="223">
        <v>795.5</v>
      </c>
      <c r="D16" s="222"/>
      <c r="E16" s="222"/>
      <c r="F16" s="222"/>
      <c r="G16" s="48"/>
      <c r="H16" s="182"/>
    </row>
    <row r="17" spans="2:8" s="47" customFormat="1" ht="18" customHeight="1" x14ac:dyDescent="0.3">
      <c r="B17" s="44" t="s">
        <v>83</v>
      </c>
      <c r="C17" s="224">
        <f>'App9. Data for tables'!$H$73</f>
        <v>0.05</v>
      </c>
      <c r="D17" s="222"/>
      <c r="E17" s="222"/>
      <c r="F17" s="222"/>
      <c r="G17" s="48"/>
      <c r="H17" s="182"/>
    </row>
    <row r="18" spans="2:8" s="47" customFormat="1" ht="18" customHeight="1" x14ac:dyDescent="0.3">
      <c r="B18" s="44" t="s">
        <v>84</v>
      </c>
      <c r="C18" s="224">
        <f>'App9. Data for tables'!$H$74</f>
        <v>0.05</v>
      </c>
      <c r="D18" s="222"/>
      <c r="E18" s="222"/>
      <c r="F18" s="222"/>
      <c r="G18" s="48"/>
      <c r="H18" s="182"/>
    </row>
    <row r="19" spans="2:8" s="47" customFormat="1" ht="47.25" customHeight="1" x14ac:dyDescent="0.3">
      <c r="B19" s="302" t="s">
        <v>435</v>
      </c>
      <c r="C19" s="302"/>
      <c r="D19" s="302"/>
      <c r="E19" s="302"/>
      <c r="F19" s="302"/>
    </row>
    <row r="20" spans="2:8" s="47" customFormat="1" ht="29.4" customHeight="1" x14ac:dyDescent="0.3">
      <c r="B20" s="302" t="s">
        <v>85</v>
      </c>
      <c r="C20" s="302"/>
      <c r="D20" s="302"/>
      <c r="E20" s="302"/>
      <c r="F20" s="302"/>
    </row>
    <row r="21" spans="2:8" s="47" customFormat="1" ht="15" customHeight="1" x14ac:dyDescent="0.3">
      <c r="B21" s="49" t="s">
        <v>86</v>
      </c>
      <c r="C21" s="49"/>
      <c r="D21" s="49"/>
      <c r="E21" s="46">
        <v>0.8</v>
      </c>
    </row>
    <row r="22" spans="2:8" ht="14.4" x14ac:dyDescent="0.3">
      <c r="B22" s="12"/>
      <c r="C22" s="12"/>
      <c r="D22" s="64"/>
      <c r="E22" s="64"/>
      <c r="F22" s="64"/>
    </row>
    <row r="23" spans="2:8" ht="14.4" x14ac:dyDescent="0.3">
      <c r="D23" s="64"/>
      <c r="E23" s="64"/>
      <c r="F23" s="64"/>
      <c r="G23" s="64"/>
    </row>
    <row r="24" spans="2:8" x14ac:dyDescent="0.25">
      <c r="D24" s="33"/>
    </row>
  </sheetData>
  <protectedRanges>
    <protectedRange sqref="B4:C9 D10 C14:C18" name="Price and Yield"/>
    <protectedRange sqref="D11:D12" name="Price and Yield_1"/>
    <protectedRange sqref="D13:D18" name="Price and Yield_1_1"/>
  </protectedRanges>
  <mergeCells count="4">
    <mergeCell ref="B19:F19"/>
    <mergeCell ref="B2:F2"/>
    <mergeCell ref="B20:F20"/>
    <mergeCell ref="B13:F13"/>
  </mergeCells>
  <phoneticPr fontId="17" type="noConversion"/>
  <pageMargins left="0.7" right="0.7" top="0.75" bottom="0.75" header="0.3" footer="0.3"/>
  <pageSetup orientation="portrait" r:id="rId1"/>
  <ignoredErrors>
    <ignoredError sqref="C9 C4:C6 C7:C8"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0"/>
  <sheetViews>
    <sheetView zoomScale="90" zoomScaleNormal="90" workbookViewId="0">
      <selection activeCell="B2" sqref="B2:F2"/>
    </sheetView>
  </sheetViews>
  <sheetFormatPr defaultColWidth="9.109375" defaultRowHeight="13.8" x14ac:dyDescent="0.3"/>
  <cols>
    <col min="1" max="1" width="9.109375" style="58"/>
    <col min="2" max="2" width="42.88671875" style="58" customWidth="1"/>
    <col min="3" max="3" width="14.33203125" style="58" customWidth="1"/>
    <col min="4" max="4" width="21.33203125" style="58" customWidth="1"/>
    <col min="5" max="5" width="19.88671875" style="58" customWidth="1"/>
    <col min="6" max="6" width="8.6640625" style="58" customWidth="1"/>
    <col min="7" max="16384" width="9.109375" style="58"/>
  </cols>
  <sheetData>
    <row r="2" spans="2:12" ht="43.5" customHeight="1" x14ac:dyDescent="0.3">
      <c r="B2" s="306" t="s">
        <v>489</v>
      </c>
      <c r="C2" s="306"/>
      <c r="D2" s="306"/>
      <c r="E2" s="306"/>
      <c r="F2" s="306"/>
    </row>
    <row r="3" spans="2:12" ht="36.6" customHeight="1" x14ac:dyDescent="0.3">
      <c r="B3" s="232" t="s">
        <v>443</v>
      </c>
      <c r="C3" s="184" t="s">
        <v>87</v>
      </c>
      <c r="D3" s="184" t="s">
        <v>444</v>
      </c>
      <c r="E3" s="184" t="s">
        <v>445</v>
      </c>
      <c r="F3" s="233" t="s">
        <v>242</v>
      </c>
    </row>
    <row r="4" spans="2:12" ht="19.95" customHeight="1" x14ac:dyDescent="0.3">
      <c r="B4" s="50" t="s">
        <v>439</v>
      </c>
      <c r="C4" s="76">
        <f>'Cosmic Crisp-Spindle Budget'!$I$28</f>
        <v>34679.152856250003</v>
      </c>
      <c r="D4" s="76">
        <f>C4/$C$8</f>
        <v>555.75565474759617</v>
      </c>
      <c r="E4" s="76">
        <f>D4/$C$9</f>
        <v>30.040846202572766</v>
      </c>
      <c r="F4" s="230" t="s">
        <v>365</v>
      </c>
    </row>
    <row r="5" spans="2:12" ht="19.95" customHeight="1" x14ac:dyDescent="0.3">
      <c r="B5" s="50" t="s">
        <v>440</v>
      </c>
      <c r="C5" s="77">
        <f>'Cosmic Crisp-Spindle Budget'!I34</f>
        <v>35669.152856250003</v>
      </c>
      <c r="D5" s="76">
        <f>C5/$C$8</f>
        <v>571.62103936298081</v>
      </c>
      <c r="E5" s="76">
        <f>D5/$C$9</f>
        <v>30.898434560161125</v>
      </c>
      <c r="F5" s="230" t="s">
        <v>88</v>
      </c>
      <c r="G5" s="57"/>
      <c r="H5" s="57"/>
      <c r="I5" s="57"/>
      <c r="J5" s="57"/>
      <c r="K5" s="57"/>
      <c r="L5" s="57"/>
    </row>
    <row r="6" spans="2:12" ht="19.95" customHeight="1" x14ac:dyDescent="0.3">
      <c r="B6" s="16" t="s">
        <v>441</v>
      </c>
      <c r="C6" s="77">
        <f>C5+SUM('Cosmic Crisp-Spindle Budget'!I36:I42)</f>
        <v>37276.447522916671</v>
      </c>
      <c r="D6" s="76">
        <f>C6/$C$8</f>
        <v>597.37896671340809</v>
      </c>
      <c r="E6" s="76">
        <f>D6/$C$9</f>
        <v>32.290754957481518</v>
      </c>
      <c r="F6" s="230" t="s">
        <v>89</v>
      </c>
      <c r="G6" s="57"/>
      <c r="H6" s="57"/>
      <c r="I6" s="57"/>
      <c r="J6" s="57"/>
      <c r="K6" s="57"/>
      <c r="L6" s="57"/>
    </row>
    <row r="7" spans="2:12" ht="19.95" customHeight="1" x14ac:dyDescent="0.3">
      <c r="B7" s="151" t="s">
        <v>442</v>
      </c>
      <c r="C7" s="229">
        <f>C6+SUM('Cosmic Crisp-Spindle Budget'!I43:I50,'Cosmic Crisp-Spindle Budget'!I52:I53)</f>
        <v>46031.043126143966</v>
      </c>
      <c r="D7" s="229">
        <f>C7/$C$8</f>
        <v>737.67697317538398</v>
      </c>
      <c r="E7" s="229">
        <f>D7/$C$9</f>
        <v>39.874430982453191</v>
      </c>
      <c r="F7" s="231" t="s">
        <v>91</v>
      </c>
      <c r="G7" s="57"/>
      <c r="H7" s="57"/>
      <c r="I7" s="57"/>
      <c r="J7" s="57"/>
      <c r="K7" s="57"/>
      <c r="L7" s="57"/>
    </row>
    <row r="8" spans="2:12" x14ac:dyDescent="0.3">
      <c r="B8" s="78" t="s">
        <v>92</v>
      </c>
      <c r="C8" s="79">
        <f>'Cosmic Crisp-Spindle Budget'!$I$4</f>
        <v>62.400000000000006</v>
      </c>
    </row>
    <row r="9" spans="2:12" x14ac:dyDescent="0.3">
      <c r="B9" s="78" t="s">
        <v>361</v>
      </c>
      <c r="C9" s="183">
        <f>'App9. Data for tables'!$H$64</f>
        <v>18.5</v>
      </c>
    </row>
    <row r="10" spans="2:12" x14ac:dyDescent="0.3">
      <c r="B10" s="78" t="s">
        <v>364</v>
      </c>
    </row>
    <row r="11" spans="2:12" ht="51.75" customHeight="1" x14ac:dyDescent="0.3">
      <c r="B11" s="305" t="s">
        <v>372</v>
      </c>
      <c r="C11" s="305"/>
      <c r="D11" s="305"/>
      <c r="E11" s="305"/>
      <c r="F11" s="305"/>
    </row>
    <row r="12" spans="2:12" ht="18.75" customHeight="1" x14ac:dyDescent="0.3">
      <c r="B12" s="305" t="s">
        <v>363</v>
      </c>
      <c r="C12" s="305"/>
      <c r="D12" s="305"/>
      <c r="E12" s="305"/>
      <c r="F12" s="305"/>
    </row>
    <row r="13" spans="2:12" ht="30" customHeight="1" x14ac:dyDescent="0.3">
      <c r="B13" s="305" t="s">
        <v>373</v>
      </c>
      <c r="C13" s="305"/>
      <c r="D13" s="305"/>
      <c r="E13" s="305"/>
      <c r="F13" s="305"/>
    </row>
    <row r="14" spans="2:12" ht="18.75" customHeight="1" x14ac:dyDescent="0.3">
      <c r="B14" s="305" t="s">
        <v>374</v>
      </c>
      <c r="C14" s="305"/>
      <c r="D14" s="305"/>
      <c r="E14" s="305"/>
      <c r="F14" s="305"/>
      <c r="G14" s="57"/>
      <c r="H14" s="57"/>
      <c r="I14" s="57"/>
      <c r="J14" s="57"/>
      <c r="K14" s="57"/>
      <c r="L14" s="57"/>
    </row>
    <row r="15" spans="2:12" ht="18.75" customHeight="1" x14ac:dyDescent="0.3">
      <c r="B15" s="305" t="s">
        <v>375</v>
      </c>
      <c r="C15" s="305"/>
      <c r="D15" s="305"/>
      <c r="E15" s="305"/>
      <c r="F15" s="305"/>
      <c r="G15" s="57"/>
      <c r="H15" s="57"/>
      <c r="I15" s="57"/>
      <c r="J15" s="57"/>
      <c r="K15" s="57"/>
      <c r="L15" s="57"/>
    </row>
    <row r="16" spans="2:12" ht="18.75" customHeight="1" x14ac:dyDescent="0.3">
      <c r="B16" s="305" t="s">
        <v>362</v>
      </c>
      <c r="C16" s="305"/>
      <c r="D16" s="305"/>
      <c r="E16" s="305"/>
      <c r="F16" s="305"/>
    </row>
    <row r="17" spans="2:12" ht="36.450000000000003" customHeight="1" x14ac:dyDescent="0.3">
      <c r="B17" s="305" t="s">
        <v>376</v>
      </c>
      <c r="C17" s="305"/>
      <c r="D17" s="305"/>
      <c r="E17" s="305"/>
      <c r="F17" s="305"/>
      <c r="G17" s="57"/>
      <c r="H17" s="57"/>
      <c r="I17" s="57"/>
      <c r="J17" s="57"/>
      <c r="K17" s="57"/>
      <c r="L17" s="57"/>
    </row>
    <row r="18" spans="2:12" x14ac:dyDescent="0.3">
      <c r="B18" s="78"/>
    </row>
    <row r="19" spans="2:12" x14ac:dyDescent="0.3">
      <c r="B19" s="80"/>
    </row>
    <row r="20" spans="2:12" x14ac:dyDescent="0.3">
      <c r="B20" s="78"/>
    </row>
  </sheetData>
  <protectedRanges>
    <protectedRange sqref="C8" name="Yield"/>
  </protectedRanges>
  <mergeCells count="8">
    <mergeCell ref="B17:F17"/>
    <mergeCell ref="B12:F12"/>
    <mergeCell ref="B2:F2"/>
    <mergeCell ref="B11:F11"/>
    <mergeCell ref="B13:F13"/>
    <mergeCell ref="B14:F14"/>
    <mergeCell ref="B15:F15"/>
    <mergeCell ref="B16:F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8"/>
  <sheetViews>
    <sheetView workbookViewId="0">
      <selection activeCell="B2" sqref="B2:H2"/>
    </sheetView>
  </sheetViews>
  <sheetFormatPr defaultColWidth="9.109375" defaultRowHeight="14.4" x14ac:dyDescent="0.3"/>
  <cols>
    <col min="1" max="1" width="6.6640625" style="50" customWidth="1"/>
    <col min="2" max="2" width="26.44140625" style="50" customWidth="1"/>
    <col min="3" max="3" width="13.6640625" style="50" customWidth="1"/>
    <col min="4" max="7" width="12.6640625" style="50" customWidth="1"/>
    <col min="8" max="8" width="16.33203125" style="50" customWidth="1"/>
    <col min="9" max="9" width="3.6640625" style="50" customWidth="1"/>
    <col min="10" max="15" width="9.109375" style="83"/>
    <col min="16" max="16384" width="9.109375" style="50"/>
  </cols>
  <sheetData>
    <row r="2" spans="1:15" ht="41.25" customHeight="1" x14ac:dyDescent="0.3">
      <c r="B2" s="307" t="s">
        <v>446</v>
      </c>
      <c r="C2" s="307"/>
      <c r="D2" s="307"/>
      <c r="E2" s="307"/>
      <c r="F2" s="307"/>
      <c r="G2" s="307"/>
      <c r="H2" s="307"/>
    </row>
    <row r="3" spans="1:15" ht="46.8" customHeight="1" x14ac:dyDescent="0.3">
      <c r="A3" s="84"/>
      <c r="B3" s="152" t="s">
        <v>447</v>
      </c>
      <c r="C3" s="201" t="s">
        <v>40</v>
      </c>
      <c r="D3" s="201" t="s">
        <v>41</v>
      </c>
      <c r="E3" s="201" t="s">
        <v>42</v>
      </c>
      <c r="F3" s="201" t="s">
        <v>43</v>
      </c>
      <c r="G3" s="201" t="s">
        <v>44</v>
      </c>
      <c r="H3" s="169" t="s">
        <v>407</v>
      </c>
      <c r="I3" s="85"/>
      <c r="O3" s="50"/>
    </row>
    <row r="4" spans="1:15" x14ac:dyDescent="0.25">
      <c r="B4" s="82" t="s">
        <v>93</v>
      </c>
      <c r="C4" s="235">
        <f>'App5. Estab Costs'!$H$4</f>
        <v>220000</v>
      </c>
      <c r="D4" s="234">
        <v>0</v>
      </c>
      <c r="E4" s="234">
        <v>0</v>
      </c>
      <c r="F4" s="234">
        <v>0</v>
      </c>
      <c r="G4" s="234">
        <v>0</v>
      </c>
      <c r="H4" s="234">
        <v>0</v>
      </c>
      <c r="I4" s="236"/>
    </row>
    <row r="5" spans="1:15" x14ac:dyDescent="0.25">
      <c r="B5" s="82" t="s">
        <v>39</v>
      </c>
      <c r="C5" s="235">
        <f>'App5. Estab Costs'!$H$11</f>
        <v>83300</v>
      </c>
      <c r="D5" s="234">
        <v>0</v>
      </c>
      <c r="E5" s="234">
        <v>0</v>
      </c>
      <c r="F5" s="234">
        <v>0</v>
      </c>
      <c r="G5" s="234">
        <v>0</v>
      </c>
      <c r="H5" s="234">
        <v>0</v>
      </c>
      <c r="I5" s="236"/>
    </row>
    <row r="6" spans="1:15" x14ac:dyDescent="0.25">
      <c r="B6" s="65" t="s">
        <v>94</v>
      </c>
      <c r="C6" s="234">
        <v>0</v>
      </c>
      <c r="D6" s="234">
        <v>0</v>
      </c>
      <c r="E6" s="234">
        <v>0</v>
      </c>
      <c r="F6" s="235">
        <f>'App3&amp;4. Int&amp;Dep'!C5</f>
        <v>100000</v>
      </c>
      <c r="G6" s="235"/>
      <c r="H6" s="235"/>
      <c r="I6" s="236"/>
    </row>
    <row r="7" spans="1:15" x14ac:dyDescent="0.25">
      <c r="B7" s="82" t="s">
        <v>65</v>
      </c>
      <c r="C7" s="235">
        <f>'App5. Estab Costs'!$H$12+'App5. Estab Costs'!$H$13</f>
        <v>48000</v>
      </c>
      <c r="D7" s="234">
        <v>0</v>
      </c>
      <c r="E7" s="234">
        <v>0</v>
      </c>
      <c r="F7" s="234">
        <v>0</v>
      </c>
      <c r="G7" s="234">
        <v>0</v>
      </c>
      <c r="H7" s="234">
        <v>0</v>
      </c>
      <c r="I7" s="236"/>
    </row>
    <row r="8" spans="1:15" x14ac:dyDescent="0.25">
      <c r="B8" s="82" t="s">
        <v>67</v>
      </c>
      <c r="C8" s="235">
        <f>'App5. Estab Costs'!$H$14</f>
        <v>9000</v>
      </c>
      <c r="D8" s="234">
        <v>0</v>
      </c>
      <c r="E8" s="234">
        <v>0</v>
      </c>
      <c r="F8" s="234">
        <v>0</v>
      </c>
      <c r="G8" s="234">
        <v>0</v>
      </c>
      <c r="H8" s="234">
        <v>0</v>
      </c>
      <c r="I8" s="236"/>
    </row>
    <row r="9" spans="1:15" x14ac:dyDescent="0.25">
      <c r="B9" s="82" t="s">
        <v>68</v>
      </c>
      <c r="C9" s="235">
        <f>'App5. Estab Costs'!$H$15</f>
        <v>30000</v>
      </c>
      <c r="D9" s="234">
        <v>0</v>
      </c>
      <c r="E9" s="234">
        <v>0</v>
      </c>
      <c r="F9" s="234">
        <v>0</v>
      </c>
      <c r="G9" s="234">
        <v>0</v>
      </c>
      <c r="H9" s="234">
        <v>0</v>
      </c>
      <c r="I9" s="236"/>
    </row>
    <row r="10" spans="1:15" x14ac:dyDescent="0.25">
      <c r="B10" s="82" t="s">
        <v>72</v>
      </c>
      <c r="C10" s="235">
        <f>'App5. Estab Costs'!$H$24</f>
        <v>40158.400000000001</v>
      </c>
      <c r="D10" s="234">
        <v>0</v>
      </c>
      <c r="E10" s="234">
        <v>0</v>
      </c>
      <c r="F10" s="234">
        <v>0</v>
      </c>
      <c r="G10" s="234">
        <v>0</v>
      </c>
      <c r="H10" s="234">
        <v>0</v>
      </c>
      <c r="I10" s="236"/>
    </row>
    <row r="11" spans="1:15" ht="16.8" x14ac:dyDescent="0.25">
      <c r="B11" s="82" t="s">
        <v>95</v>
      </c>
      <c r="C11" s="235">
        <f>('Cosmic Crisp-Spindle Budget'!D28+'Cosmic Crisp-Spindle Budget'!D30+'Cosmic Crisp-Spindle Budget'!D31+'Cosmic Crisp-Spindle Budget'!D32+'Cosmic Crisp-Spindle Budget'!D52)*'App9. Data for tables'!$C$78</f>
        <v>261314.45400000009</v>
      </c>
      <c r="D11" s="235">
        <f>('Cosmic Crisp-Spindle Budget'!E28+'Cosmic Crisp-Spindle Budget'!E30+'Cosmic Crisp-Spindle Budget'!E31+'Cosmic Crisp-Spindle Budget'!E32+'Cosmic Crisp-Spindle Budget'!E52)*'App9. Data for tables'!$D$78</f>
        <v>55748.588249999993</v>
      </c>
      <c r="E11" s="89">
        <f>('Cosmic Crisp-Spindle Budget'!F28+'Cosmic Crisp-Spindle Budget'!F30+'Cosmic Crisp-Spindle Budget'!F31+'Cosmic Crisp-Spindle Budget'!F32+'Cosmic Crisp-Spindle Budget'!F52)*'App9. Data for tables'!$E$78</f>
        <v>70686.471000000005</v>
      </c>
      <c r="F11" s="235">
        <f>('Cosmic Crisp-Spindle Budget'!G28+'Cosmic Crisp-Spindle Budget'!G30+'Cosmic Crisp-Spindle Budget'!G31+'Cosmic Crisp-Spindle Budget'!G32+'Cosmic Crisp-Spindle Budget'!G52)*'App9. Data for tables'!$F$78</f>
        <v>248527.98974999998</v>
      </c>
      <c r="G11" s="235">
        <f>('Cosmic Crisp-Spindle Budget'!H28+'Cosmic Crisp-Spindle Budget'!H30+'Cosmic Crisp-Spindle Budget'!H31+'Cosmic Crisp-Spindle Budget'!H32+'Cosmic Crisp-Spindle Budget'!H52)*'App9. Data for tables'!$G$78</f>
        <v>308972.55224999995</v>
      </c>
      <c r="H11" s="235">
        <f>('Cosmic Crisp-Spindle Budget'!I28+'Cosmic Crisp-Spindle Budget'!I30+'Cosmic Crisp-Spindle Budget'!I31+'Cosmic Crisp-Spindle Budget'!I32+'Cosmic Crisp-Spindle Budget'!I52)*'App9. Data for tables'!$H$78</f>
        <v>364191.52856250003</v>
      </c>
      <c r="I11" s="236"/>
    </row>
    <row r="12" spans="1:15" x14ac:dyDescent="0.25">
      <c r="B12" s="86" t="s">
        <v>96</v>
      </c>
      <c r="C12" s="235">
        <f t="shared" ref="C12:H12" si="0">SUM(C4:C11)</f>
        <v>691772.85400000005</v>
      </c>
      <c r="D12" s="235">
        <f t="shared" si="0"/>
        <v>55748.588249999993</v>
      </c>
      <c r="E12" s="89">
        <f t="shared" si="0"/>
        <v>70686.471000000005</v>
      </c>
      <c r="F12" s="235">
        <f t="shared" si="0"/>
        <v>348527.98974999995</v>
      </c>
      <c r="G12" s="235">
        <f t="shared" si="0"/>
        <v>308972.55224999995</v>
      </c>
      <c r="H12" s="235">
        <f t="shared" si="0"/>
        <v>364191.52856250003</v>
      </c>
      <c r="I12" s="236"/>
    </row>
    <row r="13" spans="1:15" x14ac:dyDescent="0.25">
      <c r="C13" s="235"/>
      <c r="D13" s="235"/>
      <c r="E13" s="89"/>
      <c r="F13" s="235"/>
      <c r="G13" s="235"/>
      <c r="H13" s="235"/>
      <c r="I13" s="236"/>
    </row>
    <row r="14" spans="1:15" x14ac:dyDescent="0.25">
      <c r="B14" s="86" t="s">
        <v>97</v>
      </c>
      <c r="C14" s="235">
        <f>'Cosmic Crisp-Spindle Budget'!D7*'App9. Data for tables'!$C$78</f>
        <v>0</v>
      </c>
      <c r="D14" s="235">
        <f>'Cosmic Crisp-Spindle Budget'!E7*'App9. Data for tables'!$D$78</f>
        <v>0</v>
      </c>
      <c r="E14" s="89">
        <f>'Cosmic Crisp-Spindle Budget'!F7*'App9. Data for tables'!$E$78</f>
        <v>0</v>
      </c>
      <c r="F14" s="235">
        <f>'Cosmic Crisp-Spindle Budget'!G7*'App9. Data for tables'!$F$78</f>
        <v>248640.00000000003</v>
      </c>
      <c r="G14" s="235">
        <f>'Cosmic Crisp-Spindle Budget'!H7*'App9. Data for tables'!$G$78</f>
        <v>326340.00000000006</v>
      </c>
      <c r="H14" s="235">
        <f>'Cosmic Crisp-Spindle Budget'!I7*'App9. Data for tables'!$H$78</f>
        <v>404040.00000000006</v>
      </c>
      <c r="I14" s="236"/>
    </row>
    <row r="15" spans="1:15" x14ac:dyDescent="0.25">
      <c r="C15" s="235"/>
      <c r="D15" s="235"/>
      <c r="E15" s="89"/>
      <c r="F15" s="235"/>
      <c r="G15" s="235"/>
      <c r="H15" s="235"/>
      <c r="I15" s="236"/>
    </row>
    <row r="16" spans="1:15" x14ac:dyDescent="0.25">
      <c r="B16" s="152" t="s">
        <v>98</v>
      </c>
      <c r="C16" s="237">
        <f t="shared" ref="C16:H16" si="1">C12-C14</f>
        <v>691772.85400000005</v>
      </c>
      <c r="D16" s="237">
        <f t="shared" si="1"/>
        <v>55748.588249999993</v>
      </c>
      <c r="E16" s="161">
        <f t="shared" si="1"/>
        <v>70686.471000000005</v>
      </c>
      <c r="F16" s="237">
        <f t="shared" si="1"/>
        <v>99887.989749999921</v>
      </c>
      <c r="G16" s="238">
        <f t="shared" si="1"/>
        <v>-17367.447750000108</v>
      </c>
      <c r="H16" s="238">
        <f t="shared" si="1"/>
        <v>-39848.471437500033</v>
      </c>
      <c r="I16" s="236"/>
    </row>
    <row r="17" spans="2:9" x14ac:dyDescent="0.3">
      <c r="B17" s="87" t="s">
        <v>80</v>
      </c>
    </row>
    <row r="18" spans="2:9" ht="15.6" x14ac:dyDescent="0.3">
      <c r="B18" s="43" t="s">
        <v>99</v>
      </c>
    </row>
    <row r="19" spans="2:9" x14ac:dyDescent="0.3">
      <c r="B19" s="43" t="s">
        <v>100</v>
      </c>
      <c r="F19" s="88"/>
      <c r="G19" s="88"/>
      <c r="H19" s="88"/>
    </row>
    <row r="20" spans="2:9" x14ac:dyDescent="0.3">
      <c r="C20" s="42"/>
      <c r="D20" s="42"/>
      <c r="E20" s="42"/>
      <c r="F20" s="42"/>
      <c r="G20" s="42"/>
      <c r="H20" s="42"/>
      <c r="I20" s="42"/>
    </row>
    <row r="21" spans="2:9" x14ac:dyDescent="0.3">
      <c r="F21" s="88"/>
      <c r="G21" s="88"/>
      <c r="H21" s="88"/>
    </row>
    <row r="22" spans="2:9" x14ac:dyDescent="0.3">
      <c r="F22" s="88"/>
      <c r="G22" s="88"/>
      <c r="H22" s="88"/>
    </row>
    <row r="23" spans="2:9" x14ac:dyDescent="0.3">
      <c r="F23" s="88"/>
      <c r="G23" s="88"/>
      <c r="H23" s="88"/>
    </row>
    <row r="24" spans="2:9" x14ac:dyDescent="0.3">
      <c r="F24" s="88"/>
      <c r="G24" s="88"/>
      <c r="H24" s="88"/>
    </row>
    <row r="25" spans="2:9" x14ac:dyDescent="0.3">
      <c r="F25" s="88"/>
      <c r="G25" s="88"/>
      <c r="H25" s="88"/>
    </row>
    <row r="26" spans="2:9" x14ac:dyDescent="0.3">
      <c r="F26" s="88"/>
      <c r="G26" s="88"/>
      <c r="H26" s="88"/>
    </row>
    <row r="27" spans="2:9" x14ac:dyDescent="0.3">
      <c r="F27" s="88"/>
      <c r="G27" s="88"/>
      <c r="H27" s="88"/>
    </row>
    <row r="28" spans="2:9" x14ac:dyDescent="0.3">
      <c r="F28" s="88"/>
      <c r="G28" s="88"/>
      <c r="H28" s="88"/>
    </row>
  </sheetData>
  <mergeCells count="1">
    <mergeCell ref="B2:H2"/>
  </mergeCells>
  <phoneticPr fontId="17"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28"/>
  <sheetViews>
    <sheetView workbookViewId="0">
      <selection activeCell="B2" sqref="B2:F2"/>
    </sheetView>
  </sheetViews>
  <sheetFormatPr defaultColWidth="9.109375" defaultRowHeight="14.4" x14ac:dyDescent="0.3"/>
  <cols>
    <col min="1" max="1" width="9.109375" style="4"/>
    <col min="2" max="2" width="32" style="2" customWidth="1"/>
    <col min="3" max="3" width="15.6640625" style="2" customWidth="1"/>
    <col min="4" max="6" width="16.6640625" style="2" customWidth="1"/>
    <col min="7" max="7" width="9.109375" style="2"/>
    <col min="8" max="16384" width="9.109375" style="4"/>
  </cols>
  <sheetData>
    <row r="2" spans="2:7" ht="36.6" customHeight="1" x14ac:dyDescent="0.3">
      <c r="B2" s="307" t="s">
        <v>448</v>
      </c>
      <c r="C2" s="307"/>
      <c r="D2" s="307"/>
      <c r="E2" s="307"/>
      <c r="F2" s="307"/>
      <c r="G2" s="3"/>
    </row>
    <row r="3" spans="2:7" ht="30.6" x14ac:dyDescent="0.3">
      <c r="B3" s="239" t="s">
        <v>449</v>
      </c>
      <c r="C3" s="239" t="s">
        <v>101</v>
      </c>
      <c r="D3" s="153" t="s">
        <v>102</v>
      </c>
      <c r="E3" s="153" t="s">
        <v>103</v>
      </c>
      <c r="F3" s="153" t="s">
        <v>104</v>
      </c>
      <c r="G3" s="1"/>
    </row>
    <row r="4" spans="2:7" x14ac:dyDescent="0.3">
      <c r="B4" s="37" t="s">
        <v>105</v>
      </c>
      <c r="C4" s="37"/>
      <c r="D4" s="24">
        <v>150000</v>
      </c>
      <c r="E4" s="25">
        <v>1</v>
      </c>
      <c r="F4" s="5">
        <f t="shared" ref="F4:F15" si="0">D4*E4</f>
        <v>150000</v>
      </c>
      <c r="G4" s="1"/>
    </row>
    <row r="5" spans="2:7" ht="17.399999999999999" x14ac:dyDescent="0.3">
      <c r="B5" s="37" t="s">
        <v>106</v>
      </c>
      <c r="C5" s="37"/>
      <c r="D5" s="24">
        <v>150000</v>
      </c>
      <c r="E5" s="25">
        <v>1</v>
      </c>
      <c r="F5" s="5">
        <f t="shared" si="0"/>
        <v>150000</v>
      </c>
      <c r="G5" s="1"/>
    </row>
    <row r="6" spans="2:7" x14ac:dyDescent="0.3">
      <c r="B6" s="37" t="s">
        <v>107</v>
      </c>
      <c r="C6" s="37" t="s">
        <v>108</v>
      </c>
      <c r="D6" s="24">
        <v>50000</v>
      </c>
      <c r="E6" s="25">
        <v>5</v>
      </c>
      <c r="F6" s="5">
        <f t="shared" si="0"/>
        <v>250000</v>
      </c>
      <c r="G6" s="1"/>
    </row>
    <row r="7" spans="2:7" x14ac:dyDescent="0.3">
      <c r="B7" s="37" t="s">
        <v>109</v>
      </c>
      <c r="C7" s="37" t="s">
        <v>110</v>
      </c>
      <c r="D7" s="24">
        <v>27500</v>
      </c>
      <c r="E7" s="25">
        <v>2</v>
      </c>
      <c r="F7" s="5">
        <f t="shared" si="0"/>
        <v>55000</v>
      </c>
      <c r="G7" s="1"/>
    </row>
    <row r="8" spans="2:7" x14ac:dyDescent="0.3">
      <c r="B8" s="37" t="s">
        <v>111</v>
      </c>
      <c r="C8" s="37" t="s">
        <v>112</v>
      </c>
      <c r="D8" s="24">
        <v>8000</v>
      </c>
      <c r="E8" s="25">
        <v>3</v>
      </c>
      <c r="F8" s="5">
        <f t="shared" si="0"/>
        <v>24000</v>
      </c>
      <c r="G8" s="1"/>
    </row>
    <row r="9" spans="2:7" x14ac:dyDescent="0.3">
      <c r="B9" s="37" t="s">
        <v>113</v>
      </c>
      <c r="C9" s="37"/>
      <c r="D9" s="24">
        <v>30000</v>
      </c>
      <c r="E9" s="25">
        <v>5</v>
      </c>
      <c r="F9" s="5">
        <f t="shared" si="0"/>
        <v>150000</v>
      </c>
      <c r="G9" s="1"/>
    </row>
    <row r="10" spans="2:7" x14ac:dyDescent="0.3">
      <c r="B10" s="37" t="s">
        <v>114</v>
      </c>
      <c r="C10" s="37"/>
      <c r="D10" s="24">
        <v>7000</v>
      </c>
      <c r="E10" s="25">
        <v>1</v>
      </c>
      <c r="F10" s="5">
        <f t="shared" si="0"/>
        <v>7000</v>
      </c>
      <c r="G10" s="1"/>
    </row>
    <row r="11" spans="2:7" x14ac:dyDescent="0.3">
      <c r="B11" s="37" t="s">
        <v>115</v>
      </c>
      <c r="C11" s="37" t="s">
        <v>116</v>
      </c>
      <c r="D11" s="24">
        <v>7500</v>
      </c>
      <c r="E11" s="25">
        <v>1</v>
      </c>
      <c r="F11" s="5">
        <f t="shared" si="0"/>
        <v>7500</v>
      </c>
      <c r="G11" s="1"/>
    </row>
    <row r="12" spans="2:7" x14ac:dyDescent="0.3">
      <c r="B12" s="37" t="s">
        <v>117</v>
      </c>
      <c r="C12" s="37"/>
      <c r="D12" s="24">
        <v>9000</v>
      </c>
      <c r="E12" s="25">
        <v>1</v>
      </c>
      <c r="F12" s="5">
        <f t="shared" si="0"/>
        <v>9000</v>
      </c>
      <c r="G12" s="1"/>
    </row>
    <row r="13" spans="2:7" x14ac:dyDescent="0.3">
      <c r="B13" s="37" t="s">
        <v>118</v>
      </c>
      <c r="C13" s="37"/>
      <c r="D13" s="24">
        <v>30000</v>
      </c>
      <c r="E13" s="25">
        <v>2</v>
      </c>
      <c r="F13" s="5">
        <f>D13*E13</f>
        <v>60000</v>
      </c>
      <c r="G13" s="1"/>
    </row>
    <row r="14" spans="2:7" x14ac:dyDescent="0.3">
      <c r="B14" s="38" t="s">
        <v>119</v>
      </c>
      <c r="C14" s="38"/>
      <c r="D14" s="24">
        <v>7500</v>
      </c>
      <c r="E14" s="25">
        <v>3</v>
      </c>
      <c r="F14" s="5">
        <f t="shared" si="0"/>
        <v>22500</v>
      </c>
      <c r="G14" s="1"/>
    </row>
    <row r="15" spans="2:7" x14ac:dyDescent="0.3">
      <c r="B15" s="38" t="s">
        <v>120</v>
      </c>
      <c r="C15" s="38" t="s">
        <v>121</v>
      </c>
      <c r="D15" s="24">
        <v>45000</v>
      </c>
      <c r="E15" s="25">
        <v>1</v>
      </c>
      <c r="F15" s="5">
        <f t="shared" si="0"/>
        <v>45000</v>
      </c>
      <c r="G15" s="1"/>
    </row>
    <row r="16" spans="2:7" x14ac:dyDescent="0.3">
      <c r="B16" s="38" t="s">
        <v>122</v>
      </c>
      <c r="C16" s="38" t="s">
        <v>123</v>
      </c>
      <c r="D16" s="24">
        <v>130</v>
      </c>
      <c r="E16" s="25">
        <v>100</v>
      </c>
      <c r="F16" s="5">
        <f>D16*E16</f>
        <v>13000</v>
      </c>
      <c r="G16" s="1"/>
    </row>
    <row r="17" spans="2:7" x14ac:dyDescent="0.3">
      <c r="B17" s="38" t="s">
        <v>124</v>
      </c>
      <c r="C17" s="38"/>
      <c r="D17" s="24">
        <v>60000</v>
      </c>
      <c r="E17" s="25">
        <v>3</v>
      </c>
      <c r="F17" s="5">
        <f>D17*E17</f>
        <v>180000</v>
      </c>
      <c r="G17" s="1"/>
    </row>
    <row r="18" spans="2:7" ht="17.399999999999999" x14ac:dyDescent="0.3">
      <c r="B18" s="38" t="s">
        <v>125</v>
      </c>
      <c r="C18" s="38"/>
      <c r="D18" s="24">
        <v>50000</v>
      </c>
      <c r="E18" s="25">
        <v>1</v>
      </c>
      <c r="F18" s="5">
        <f>D18*E18</f>
        <v>50000</v>
      </c>
      <c r="G18" s="1"/>
    </row>
    <row r="19" spans="2:7" ht="18" thickBot="1" x14ac:dyDescent="0.35">
      <c r="B19" s="38" t="s">
        <v>126</v>
      </c>
      <c r="C19" s="38"/>
      <c r="D19" s="24">
        <v>15000</v>
      </c>
      <c r="E19" s="25">
        <v>1</v>
      </c>
      <c r="F19" s="23">
        <f>D19*E19</f>
        <v>15000</v>
      </c>
      <c r="G19" s="1"/>
    </row>
    <row r="20" spans="2:7" ht="15" thickTop="1" x14ac:dyDescent="0.3">
      <c r="B20" s="98" t="s">
        <v>90</v>
      </c>
      <c r="C20" s="98"/>
      <c r="D20" s="154"/>
      <c r="E20" s="155"/>
      <c r="F20" s="156">
        <f>SUM(F4:F19)</f>
        <v>1188000</v>
      </c>
      <c r="G20" s="1"/>
    </row>
    <row r="21" spans="2:7" x14ac:dyDescent="0.3">
      <c r="B21" s="12" t="s">
        <v>127</v>
      </c>
      <c r="C21" s="12"/>
      <c r="D21" s="1"/>
      <c r="E21" s="1"/>
      <c r="F21" s="1"/>
      <c r="G21" s="1"/>
    </row>
    <row r="22" spans="2:7" s="51" customFormat="1" ht="28.95" customHeight="1" x14ac:dyDescent="0.3">
      <c r="B22" s="302" t="s">
        <v>128</v>
      </c>
      <c r="C22" s="302"/>
      <c r="D22" s="302"/>
      <c r="E22" s="302"/>
      <c r="F22" s="302"/>
      <c r="G22" s="50"/>
    </row>
    <row r="23" spans="2:7" s="51" customFormat="1" x14ac:dyDescent="0.3">
      <c r="B23" s="43" t="s">
        <v>129</v>
      </c>
      <c r="C23" s="43"/>
      <c r="D23" s="50"/>
      <c r="E23" s="50"/>
      <c r="F23" s="50"/>
      <c r="G23" s="50"/>
    </row>
    <row r="24" spans="2:7" s="51" customFormat="1" ht="29.4" customHeight="1" x14ac:dyDescent="0.3">
      <c r="B24" s="302" t="s">
        <v>130</v>
      </c>
      <c r="C24" s="302"/>
      <c r="D24" s="302"/>
      <c r="E24" s="302"/>
      <c r="F24" s="302"/>
      <c r="G24" s="50"/>
    </row>
    <row r="25" spans="2:7" s="51" customFormat="1" ht="30.6" customHeight="1" x14ac:dyDescent="0.3">
      <c r="B25" s="302" t="s">
        <v>131</v>
      </c>
      <c r="C25" s="302"/>
      <c r="D25" s="302"/>
      <c r="E25" s="302"/>
      <c r="F25" s="302"/>
      <c r="G25" s="50"/>
    </row>
    <row r="26" spans="2:7" s="51" customFormat="1" x14ac:dyDescent="0.3">
      <c r="B26" s="43" t="s">
        <v>132</v>
      </c>
      <c r="C26" s="43"/>
      <c r="D26" s="50"/>
      <c r="E26" s="50"/>
      <c r="F26" s="50"/>
      <c r="G26" s="50"/>
    </row>
    <row r="28" spans="2:7" x14ac:dyDescent="0.3">
      <c r="B28" s="4"/>
      <c r="C28" s="4"/>
      <c r="D28" s="6"/>
      <c r="E28" s="6"/>
      <c r="F28" s="6"/>
      <c r="G28" s="6"/>
    </row>
  </sheetData>
  <protectedRanges>
    <protectedRange sqref="D4:E19" name="Price and No. of Units_1"/>
  </protectedRanges>
  <mergeCells count="4">
    <mergeCell ref="B2:F2"/>
    <mergeCell ref="B22:F22"/>
    <mergeCell ref="B24:F24"/>
    <mergeCell ref="B25:F25"/>
  </mergeCells>
  <phoneticPr fontId="17" type="noConversion"/>
  <pageMargins left="0.7" right="0.7" top="0.75" bottom="0.75" header="0.3" footer="0.3"/>
  <pageSetup scale="84" orientation="portrait" horizontalDpi="4294967293" verticalDpi="429496729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1"/>
  <sheetViews>
    <sheetView topLeftCell="B1" workbookViewId="0">
      <selection activeCell="B2" sqref="B2:G2"/>
    </sheetView>
  </sheetViews>
  <sheetFormatPr defaultColWidth="9.109375" defaultRowHeight="13.8" x14ac:dyDescent="0.3"/>
  <cols>
    <col min="1" max="1" width="6.6640625" style="52" customWidth="1"/>
    <col min="2" max="2" width="31.6640625" style="52" customWidth="1"/>
    <col min="3" max="3" width="15.44140625" style="52" customWidth="1"/>
    <col min="4" max="4" width="14.44140625" style="52" customWidth="1"/>
    <col min="5" max="5" width="14" style="52" customWidth="1"/>
    <col min="6" max="6" width="14.44140625" style="52" customWidth="1"/>
    <col min="7" max="7" width="17.6640625" style="52" customWidth="1"/>
    <col min="8" max="8" width="5.109375" style="52" customWidth="1"/>
    <col min="9" max="9" width="9.109375" style="52"/>
    <col min="10" max="10" width="10.44140625" style="52" bestFit="1" customWidth="1"/>
    <col min="11" max="16384" width="9.109375" style="52"/>
  </cols>
  <sheetData>
    <row r="2" spans="2:8" ht="41.25" customHeight="1" x14ac:dyDescent="0.3">
      <c r="B2" s="307" t="s">
        <v>450</v>
      </c>
      <c r="C2" s="307"/>
      <c r="D2" s="307"/>
      <c r="E2" s="307"/>
      <c r="F2" s="307"/>
      <c r="G2" s="307"/>
      <c r="H2" s="81"/>
    </row>
    <row r="3" spans="2:8" s="63" customFormat="1" ht="30.6" x14ac:dyDescent="0.3">
      <c r="B3" s="240" t="s">
        <v>451</v>
      </c>
      <c r="C3" s="241" t="s">
        <v>133</v>
      </c>
      <c r="D3" s="241" t="s">
        <v>134</v>
      </c>
      <c r="E3" s="241" t="s">
        <v>135</v>
      </c>
      <c r="F3" s="241" t="s">
        <v>136</v>
      </c>
      <c r="G3" s="241" t="s">
        <v>137</v>
      </c>
    </row>
    <row r="4" spans="2:8" ht="16.8" x14ac:dyDescent="0.25">
      <c r="B4" s="50" t="s">
        <v>138</v>
      </c>
      <c r="C4" s="89">
        <f>'App5. Estab Costs'!$H$12+'App5. Estab Costs'!$H$13</f>
        <v>48000</v>
      </c>
      <c r="D4" s="89">
        <v>0</v>
      </c>
      <c r="E4" s="89">
        <f>'App9. Data for tables'!$H$78</f>
        <v>10</v>
      </c>
      <c r="F4" s="157">
        <f>((C4+D4)/2)*$C$13</f>
        <v>1200</v>
      </c>
      <c r="G4" s="157">
        <f>F4/E4</f>
        <v>120</v>
      </c>
      <c r="H4" s="158"/>
    </row>
    <row r="5" spans="2:8" ht="16.8" x14ac:dyDescent="0.25">
      <c r="B5" s="95" t="s">
        <v>139</v>
      </c>
      <c r="C5" s="89">
        <f>'App9. Data for tables'!$F$21*'App9. Data for tables'!$F$78</f>
        <v>100000</v>
      </c>
      <c r="D5" s="89">
        <v>0</v>
      </c>
      <c r="E5" s="89">
        <f>'App9. Data for tables'!$H$78</f>
        <v>10</v>
      </c>
      <c r="F5" s="157">
        <f>((C5+D5)/2)*$C$13</f>
        <v>2500</v>
      </c>
      <c r="G5" s="157">
        <f>F5/E5</f>
        <v>250</v>
      </c>
      <c r="H5" s="158"/>
    </row>
    <row r="6" spans="2:8" x14ac:dyDescent="0.25">
      <c r="B6" s="50" t="s">
        <v>140</v>
      </c>
      <c r="C6" s="89">
        <f>'App5. Estab Costs'!$H$4</f>
        <v>220000</v>
      </c>
      <c r="D6" s="89" t="s">
        <v>141</v>
      </c>
      <c r="E6" s="89">
        <f>'App9. Data for tables'!$H$77</f>
        <v>11</v>
      </c>
      <c r="F6" s="157">
        <f>C6*$C$13</f>
        <v>11000</v>
      </c>
      <c r="G6" s="157">
        <f>F6/E6</f>
        <v>1000</v>
      </c>
      <c r="H6" s="58"/>
    </row>
    <row r="7" spans="2:8" ht="16.8" x14ac:dyDescent="0.25">
      <c r="B7" s="50" t="s">
        <v>142</v>
      </c>
      <c r="C7" s="89">
        <f>'App2. Mach Etc Req'!$F$20</f>
        <v>1188000</v>
      </c>
      <c r="D7" s="89">
        <f>'App7. Salv Value &amp; Dep Calc'!F20</f>
        <v>88800</v>
      </c>
      <c r="E7" s="89">
        <f>'App9. Data for tables'!$H$80</f>
        <v>300</v>
      </c>
      <c r="F7" s="157">
        <f>((C7+D7)/2)*$C$13</f>
        <v>31920</v>
      </c>
      <c r="G7" s="157">
        <f>F7/E7</f>
        <v>106.4</v>
      </c>
      <c r="H7" s="58"/>
    </row>
    <row r="8" spans="2:8" ht="16.8" x14ac:dyDescent="0.25">
      <c r="B8" s="58" t="s">
        <v>143</v>
      </c>
      <c r="C8" s="157">
        <f>'App5. Estab Costs'!$H$14</f>
        <v>9000</v>
      </c>
      <c r="D8" s="159">
        <v>0</v>
      </c>
      <c r="E8" s="89">
        <f>'App9. Data for tables'!$H$78</f>
        <v>10</v>
      </c>
      <c r="F8" s="157">
        <f>((C8+D8)/2)*$C$13</f>
        <v>225</v>
      </c>
      <c r="G8" s="157">
        <f t="shared" ref="G8:G10" si="0">F8/E8</f>
        <v>22.5</v>
      </c>
      <c r="H8" s="58"/>
    </row>
    <row r="9" spans="2:8" ht="16.8" x14ac:dyDescent="0.25">
      <c r="B9" s="50" t="s">
        <v>144</v>
      </c>
      <c r="C9" s="89">
        <f>'App5. Estab Costs'!$H$15</f>
        <v>30000</v>
      </c>
      <c r="D9" s="89">
        <v>0</v>
      </c>
      <c r="E9" s="89">
        <f>'App9. Data for tables'!$H$78</f>
        <v>10</v>
      </c>
      <c r="F9" s="157">
        <f>((C9+D9)/2)*$C$13</f>
        <v>750</v>
      </c>
      <c r="G9" s="157">
        <f t="shared" si="0"/>
        <v>75</v>
      </c>
      <c r="H9" s="58"/>
    </row>
    <row r="10" spans="2:8" ht="16.8" x14ac:dyDescent="0.25">
      <c r="B10" s="58" t="s">
        <v>145</v>
      </c>
      <c r="C10" s="157">
        <f>'App5. Estab Costs'!$H$11</f>
        <v>83300</v>
      </c>
      <c r="D10" s="159">
        <v>0</v>
      </c>
      <c r="E10" s="89">
        <f>'App9. Data for tables'!$H$78</f>
        <v>10</v>
      </c>
      <c r="F10" s="157">
        <f>((C10+D10)/2)*$C$13</f>
        <v>2082.5</v>
      </c>
      <c r="G10" s="157">
        <f t="shared" si="0"/>
        <v>208.25</v>
      </c>
      <c r="H10" s="58"/>
    </row>
    <row r="11" spans="2:8" ht="16.8" x14ac:dyDescent="0.25">
      <c r="B11" s="160" t="s">
        <v>146</v>
      </c>
      <c r="C11" s="161">
        <f>'App5. Estab Costs'!$H$24</f>
        <v>40158.400000000001</v>
      </c>
      <c r="D11" s="161">
        <v>0</v>
      </c>
      <c r="E11" s="161">
        <f>'App9. Data for tables'!$H$78</f>
        <v>10</v>
      </c>
      <c r="F11" s="162">
        <f>((C11+D11)/2)*$C$13</f>
        <v>1003.96</v>
      </c>
      <c r="G11" s="162">
        <f>F11/E11</f>
        <v>100.396</v>
      </c>
      <c r="H11" s="58"/>
    </row>
    <row r="12" spans="2:8" x14ac:dyDescent="0.3">
      <c r="B12" s="78" t="s">
        <v>80</v>
      </c>
      <c r="C12" s="58"/>
      <c r="D12" s="58"/>
      <c r="E12" s="58"/>
      <c r="F12" s="58"/>
      <c r="G12" s="58"/>
      <c r="H12" s="58"/>
    </row>
    <row r="13" spans="2:8" x14ac:dyDescent="0.3">
      <c r="B13" s="49" t="s">
        <v>147</v>
      </c>
      <c r="C13" s="242">
        <f>'App9. Data for tables'!$C$74</f>
        <v>0.05</v>
      </c>
      <c r="D13" s="58"/>
      <c r="E13" s="58"/>
      <c r="F13" s="58"/>
      <c r="G13" s="58"/>
      <c r="H13" s="58"/>
    </row>
    <row r="14" spans="2:8" x14ac:dyDescent="0.3">
      <c r="B14" s="78" t="s">
        <v>148</v>
      </c>
      <c r="C14" s="163"/>
      <c r="D14" s="58"/>
      <c r="E14" s="58"/>
      <c r="F14" s="58"/>
      <c r="G14" s="164"/>
      <c r="H14" s="58"/>
    </row>
    <row r="15" spans="2:8" s="58" customFormat="1" ht="28.2" customHeight="1" x14ac:dyDescent="0.3">
      <c r="B15" s="305" t="s">
        <v>149</v>
      </c>
      <c r="C15" s="305"/>
      <c r="D15" s="305"/>
      <c r="E15" s="305"/>
      <c r="F15" s="305"/>
      <c r="G15" s="305"/>
    </row>
    <row r="16" spans="2:8" s="58" customFormat="1" ht="42" customHeight="1" x14ac:dyDescent="0.3">
      <c r="B16" s="305" t="s">
        <v>150</v>
      </c>
      <c r="C16" s="305"/>
      <c r="D16" s="305"/>
      <c r="E16" s="305"/>
      <c r="F16" s="305"/>
      <c r="G16" s="305"/>
    </row>
    <row r="17" spans="2:7" s="58" customFormat="1" ht="31.2" customHeight="1" x14ac:dyDescent="0.3">
      <c r="B17" s="305" t="s">
        <v>151</v>
      </c>
      <c r="C17" s="305"/>
      <c r="D17" s="305"/>
      <c r="E17" s="305"/>
      <c r="F17" s="305"/>
      <c r="G17" s="305"/>
    </row>
    <row r="18" spans="2:7" s="58" customFormat="1" ht="19.95" customHeight="1" x14ac:dyDescent="0.3">
      <c r="B18" s="309" t="s">
        <v>452</v>
      </c>
      <c r="C18" s="309"/>
      <c r="D18" s="309"/>
      <c r="E18" s="309"/>
      <c r="F18" s="309"/>
      <c r="G18" s="309"/>
    </row>
    <row r="19" spans="2:7" ht="23.7" customHeight="1" x14ac:dyDescent="0.3">
      <c r="B19" s="58"/>
      <c r="C19" s="58"/>
      <c r="D19" s="58"/>
      <c r="E19" s="58"/>
      <c r="F19" s="58"/>
      <c r="G19" s="58"/>
    </row>
    <row r="20" spans="2:7" ht="43.5" customHeight="1" x14ac:dyDescent="0.3">
      <c r="B20" s="307" t="s">
        <v>454</v>
      </c>
      <c r="C20" s="307"/>
      <c r="D20" s="307"/>
      <c r="E20" s="307"/>
      <c r="F20" s="307"/>
      <c r="G20" s="307"/>
    </row>
    <row r="21" spans="2:7" s="63" customFormat="1" ht="40.200000000000003" customHeight="1" x14ac:dyDescent="0.3">
      <c r="B21" s="240" t="s">
        <v>451</v>
      </c>
      <c r="C21" s="241" t="s">
        <v>133</v>
      </c>
      <c r="D21" s="241" t="s">
        <v>135</v>
      </c>
      <c r="E21" s="241" t="s">
        <v>152</v>
      </c>
      <c r="F21" s="241" t="s">
        <v>153</v>
      </c>
      <c r="G21" s="241" t="s">
        <v>154</v>
      </c>
    </row>
    <row r="22" spans="2:7" x14ac:dyDescent="0.25">
      <c r="B22" s="50" t="s">
        <v>65</v>
      </c>
      <c r="C22" s="157">
        <f>C4</f>
        <v>48000</v>
      </c>
      <c r="D22" s="89">
        <f>'App9. Data for tables'!$H$78</f>
        <v>10</v>
      </c>
      <c r="E22" s="157">
        <f>C22/D22</f>
        <v>4800</v>
      </c>
      <c r="F22" s="90">
        <v>30</v>
      </c>
      <c r="G22" s="157">
        <f>(E22-D4)/F22</f>
        <v>160</v>
      </c>
    </row>
    <row r="23" spans="2:7" x14ac:dyDescent="0.25">
      <c r="B23" s="16" t="s">
        <v>94</v>
      </c>
      <c r="C23" s="157">
        <f>C5</f>
        <v>100000</v>
      </c>
      <c r="D23" s="89">
        <f>'App9. Data for tables'!$H$78</f>
        <v>10</v>
      </c>
      <c r="E23" s="157">
        <f>C23/D23</f>
        <v>10000</v>
      </c>
      <c r="F23" s="90">
        <v>20</v>
      </c>
      <c r="G23" s="157">
        <f>(E23-D5)/F23</f>
        <v>500</v>
      </c>
    </row>
    <row r="24" spans="2:7" x14ac:dyDescent="0.25">
      <c r="B24" s="58" t="s">
        <v>67</v>
      </c>
      <c r="C24" s="157">
        <f>C8</f>
        <v>9000</v>
      </c>
      <c r="D24" s="89">
        <f>'App9. Data for tables'!$H$78</f>
        <v>10</v>
      </c>
      <c r="E24" s="157">
        <f t="shared" ref="E24:E27" si="1">C24/D24</f>
        <v>900</v>
      </c>
      <c r="F24" s="90">
        <v>30</v>
      </c>
      <c r="G24" s="157">
        <f>(E24-D8)/F24</f>
        <v>30</v>
      </c>
    </row>
    <row r="25" spans="2:7" x14ac:dyDescent="0.25">
      <c r="B25" s="50" t="s">
        <v>68</v>
      </c>
      <c r="C25" s="157">
        <f>C9</f>
        <v>30000</v>
      </c>
      <c r="D25" s="89">
        <f>'App9. Data for tables'!$H$78</f>
        <v>10</v>
      </c>
      <c r="E25" s="157">
        <f t="shared" si="1"/>
        <v>3000</v>
      </c>
      <c r="F25" s="90">
        <v>50</v>
      </c>
      <c r="G25" s="157">
        <f>(E25-D9)/F25</f>
        <v>60</v>
      </c>
    </row>
    <row r="26" spans="2:7" x14ac:dyDescent="0.25">
      <c r="B26" s="58" t="s">
        <v>69</v>
      </c>
      <c r="C26" s="157">
        <f>C10</f>
        <v>83300</v>
      </c>
      <c r="D26" s="89">
        <f>'App9. Data for tables'!$H$78</f>
        <v>10</v>
      </c>
      <c r="E26" s="157">
        <f t="shared" si="1"/>
        <v>8330</v>
      </c>
      <c r="F26" s="90">
        <v>20</v>
      </c>
      <c r="G26" s="157">
        <f>(E26-D10)/F26</f>
        <v>416.5</v>
      </c>
    </row>
    <row r="27" spans="2:7" x14ac:dyDescent="0.25">
      <c r="B27" s="82" t="s">
        <v>72</v>
      </c>
      <c r="C27" s="157">
        <f>C11</f>
        <v>40158.400000000001</v>
      </c>
      <c r="D27" s="89">
        <f>'App9. Data for tables'!$H$78</f>
        <v>10</v>
      </c>
      <c r="E27" s="157">
        <f t="shared" si="1"/>
        <v>4015.84</v>
      </c>
      <c r="F27" s="90">
        <v>30</v>
      </c>
      <c r="G27" s="157">
        <f>(E27-D11)/F27</f>
        <v>133.86133333333333</v>
      </c>
    </row>
    <row r="28" spans="2:7" ht="16.8" x14ac:dyDescent="0.25">
      <c r="B28" s="151" t="s">
        <v>155</v>
      </c>
      <c r="C28" s="243" t="s">
        <v>455</v>
      </c>
      <c r="D28" s="243" t="s">
        <v>455</v>
      </c>
      <c r="E28" s="243" t="s">
        <v>455</v>
      </c>
      <c r="F28" s="244" t="s">
        <v>455</v>
      </c>
      <c r="G28" s="162">
        <f>'App7. Salv Value &amp; Dep Calc'!H20</f>
        <v>306.93333333333334</v>
      </c>
    </row>
    <row r="29" spans="2:7" x14ac:dyDescent="0.3">
      <c r="B29" s="78" t="s">
        <v>80</v>
      </c>
      <c r="C29" s="58"/>
      <c r="D29" s="58"/>
      <c r="E29" s="58"/>
      <c r="F29" s="58"/>
      <c r="G29" s="58"/>
    </row>
    <row r="30" spans="2:7" ht="18.75" customHeight="1" x14ac:dyDescent="0.3">
      <c r="B30" s="308" t="s">
        <v>156</v>
      </c>
      <c r="C30" s="308"/>
      <c r="D30" s="308"/>
      <c r="E30" s="308"/>
      <c r="F30" s="308"/>
      <c r="G30" s="308"/>
    </row>
    <row r="31" spans="2:7" x14ac:dyDescent="0.3">
      <c r="B31" s="78" t="s">
        <v>453</v>
      </c>
      <c r="C31" s="58"/>
      <c r="D31" s="58"/>
      <c r="E31" s="58"/>
      <c r="F31" s="58"/>
      <c r="G31" s="58"/>
    </row>
  </sheetData>
  <protectedRanges>
    <protectedRange sqref="F22:F27" name="Depreciation"/>
    <protectedRange sqref="C13" name="Interest and Salvage"/>
  </protectedRanges>
  <mergeCells count="7">
    <mergeCell ref="B30:G30"/>
    <mergeCell ref="B2:G2"/>
    <mergeCell ref="B18:G18"/>
    <mergeCell ref="B16:G16"/>
    <mergeCell ref="B17:G17"/>
    <mergeCell ref="B15:G15"/>
    <mergeCell ref="B20:G20"/>
  </mergeCells>
  <phoneticPr fontId="17" type="noConversion"/>
  <pageMargins left="0.7" right="0.7" top="0.75" bottom="0.75" header="0.3" footer="0.3"/>
  <pageSetup orientation="portrait" r:id="rId1"/>
  <ignoredErrors>
    <ignoredError sqref="C13" unlockedFormula="1"/>
    <ignoredError sqref="F6"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129"/>
  <sheetViews>
    <sheetView topLeftCell="B2" zoomScaleNormal="100" workbookViewId="0">
      <selection activeCell="B2" sqref="B2:H2"/>
    </sheetView>
  </sheetViews>
  <sheetFormatPr defaultColWidth="9.109375" defaultRowHeight="13.8" x14ac:dyDescent="0.25"/>
  <cols>
    <col min="1" max="2" width="9.6640625" style="10" customWidth="1"/>
    <col min="3" max="3" width="54.33203125" style="9" customWidth="1"/>
    <col min="4" max="4" width="11.21875" style="196" customWidth="1"/>
    <col min="5" max="5" width="13.33203125" style="196" bestFit="1" customWidth="1"/>
    <col min="6" max="6" width="13.109375" style="196" customWidth="1"/>
    <col min="7" max="7" width="12.6640625" style="196" customWidth="1"/>
    <col min="8" max="8" width="14.44140625" style="196" customWidth="1"/>
    <col min="9" max="9" width="11.44140625" style="9" customWidth="1"/>
    <col min="10" max="16384" width="9.109375" style="10"/>
  </cols>
  <sheetData>
    <row r="2" spans="1:9" ht="46.5" customHeight="1" x14ac:dyDescent="0.25">
      <c r="A2" s="14"/>
      <c r="B2" s="301" t="s">
        <v>456</v>
      </c>
      <c r="C2" s="301"/>
      <c r="D2" s="301"/>
      <c r="E2" s="301"/>
      <c r="F2" s="301"/>
      <c r="G2" s="301"/>
      <c r="H2" s="301"/>
    </row>
    <row r="3" spans="1:9" ht="27.6" x14ac:dyDescent="0.25">
      <c r="A3" s="14"/>
      <c r="B3" s="245" t="s">
        <v>457</v>
      </c>
      <c r="C3" s="246" t="s">
        <v>101</v>
      </c>
      <c r="D3" s="252" t="s">
        <v>157</v>
      </c>
      <c r="E3" s="252" t="s">
        <v>158</v>
      </c>
      <c r="F3" s="252" t="s">
        <v>159</v>
      </c>
      <c r="G3" s="252" t="s">
        <v>135</v>
      </c>
      <c r="H3" s="253" t="s">
        <v>160</v>
      </c>
    </row>
    <row r="4" spans="1:9" ht="18.75" customHeight="1" x14ac:dyDescent="0.25">
      <c r="A4" s="14"/>
      <c r="B4" s="9" t="s">
        <v>161</v>
      </c>
      <c r="C4" s="15" t="s">
        <v>458</v>
      </c>
      <c r="D4" s="254"/>
      <c r="E4" s="254"/>
      <c r="F4" s="255">
        <f>'App9. Data for tables'!$C$8</f>
        <v>20000</v>
      </c>
      <c r="G4" s="256">
        <f>'App9. Data for tables'!$C$77</f>
        <v>11</v>
      </c>
      <c r="H4" s="254">
        <f t="shared" ref="H4:H35" si="0">F4*G4</f>
        <v>220000</v>
      </c>
      <c r="I4" s="54"/>
    </row>
    <row r="5" spans="1:9" x14ac:dyDescent="0.25">
      <c r="A5" s="165"/>
      <c r="B5" s="9" t="s">
        <v>161</v>
      </c>
      <c r="C5" s="15" t="s">
        <v>459</v>
      </c>
      <c r="F5" s="255">
        <f>'App9. Data for tables'!$C$9</f>
        <v>12</v>
      </c>
      <c r="G5" s="256">
        <f>'App9. Data for tables'!$C$78</f>
        <v>10</v>
      </c>
      <c r="H5" s="254">
        <f t="shared" si="0"/>
        <v>120</v>
      </c>
    </row>
    <row r="6" spans="1:9" x14ac:dyDescent="0.25">
      <c r="A6" s="165"/>
      <c r="B6" s="9" t="s">
        <v>161</v>
      </c>
      <c r="C6" s="15" t="s">
        <v>460</v>
      </c>
      <c r="F6" s="255">
        <f>'App9. Data for tables'!$C$10</f>
        <v>1000</v>
      </c>
      <c r="G6" s="256">
        <f>'App9. Data for tables'!$C$78</f>
        <v>10</v>
      </c>
      <c r="H6" s="254">
        <f t="shared" si="0"/>
        <v>10000</v>
      </c>
    </row>
    <row r="7" spans="1:9" x14ac:dyDescent="0.25">
      <c r="A7" s="165"/>
      <c r="B7" s="9" t="s">
        <v>161</v>
      </c>
      <c r="C7" s="15" t="s">
        <v>461</v>
      </c>
      <c r="F7" s="255">
        <f>'App9. Data for tables'!$C$11</f>
        <v>180</v>
      </c>
      <c r="G7" s="256">
        <f>'App9. Data for tables'!$C$78</f>
        <v>10</v>
      </c>
      <c r="H7" s="254">
        <f t="shared" si="0"/>
        <v>1800</v>
      </c>
      <c r="I7" s="54"/>
    </row>
    <row r="8" spans="1:9" x14ac:dyDescent="0.25">
      <c r="A8" s="165"/>
      <c r="B8" s="9" t="s">
        <v>161</v>
      </c>
      <c r="C8" s="15" t="s">
        <v>462</v>
      </c>
      <c r="F8" s="255">
        <f>'App9. Data for tables'!$C$12+('App9. Data for tables'!$C$13*'App9. Data for tables'!$C$14)</f>
        <v>327.79</v>
      </c>
      <c r="G8" s="256">
        <f>'App9. Data for tables'!$C$78</f>
        <v>10</v>
      </c>
      <c r="H8" s="254">
        <f t="shared" si="0"/>
        <v>3277.9</v>
      </c>
    </row>
    <row r="9" spans="1:9" x14ac:dyDescent="0.25">
      <c r="A9" s="14"/>
      <c r="B9" s="9" t="s">
        <v>161</v>
      </c>
      <c r="C9" s="15" t="s">
        <v>463</v>
      </c>
      <c r="D9" s="255">
        <f>'App9. Data for tables'!$C$17</f>
        <v>11.51</v>
      </c>
      <c r="E9" s="256">
        <f>'App9. Data for tables'!$C$79</f>
        <v>1452</v>
      </c>
      <c r="F9" s="254">
        <f>D9*E9</f>
        <v>16712.52</v>
      </c>
      <c r="G9" s="256">
        <f>'App9. Data for tables'!$C$78</f>
        <v>10</v>
      </c>
      <c r="H9" s="254">
        <f t="shared" si="0"/>
        <v>167125.20000000001</v>
      </c>
    </row>
    <row r="10" spans="1:9" x14ac:dyDescent="0.25">
      <c r="A10" s="14"/>
      <c r="B10" s="9" t="s">
        <v>161</v>
      </c>
      <c r="C10" s="15" t="s">
        <v>464</v>
      </c>
      <c r="D10" s="255">
        <f>'App9. Data for tables'!$C$18*'App9. Data for tables'!$C$19</f>
        <v>0.47500000000000003</v>
      </c>
      <c r="E10" s="256">
        <f>'App9. Data for tables'!$C$79</f>
        <v>1452</v>
      </c>
      <c r="F10" s="254">
        <f>D10*E10</f>
        <v>689.7</v>
      </c>
      <c r="G10" s="256">
        <f>'App9. Data for tables'!$C$78</f>
        <v>10</v>
      </c>
      <c r="H10" s="254">
        <f t="shared" si="0"/>
        <v>6897</v>
      </c>
      <c r="I10" s="54"/>
    </row>
    <row r="11" spans="1:9" x14ac:dyDescent="0.25">
      <c r="A11" s="14"/>
      <c r="B11" s="9" t="s">
        <v>161</v>
      </c>
      <c r="C11" s="247" t="s">
        <v>39</v>
      </c>
      <c r="D11" s="254"/>
      <c r="E11" s="254"/>
      <c r="F11" s="254">
        <f>'App9. Data for tables'!C20</f>
        <v>8330</v>
      </c>
      <c r="G11" s="256">
        <f>'App9. Data for tables'!$C$78</f>
        <v>10</v>
      </c>
      <c r="H11" s="254">
        <f t="shared" si="0"/>
        <v>83300</v>
      </c>
      <c r="I11" s="54"/>
    </row>
    <row r="12" spans="1:9" x14ac:dyDescent="0.25">
      <c r="B12" s="9" t="s">
        <v>161</v>
      </c>
      <c r="C12" s="15" t="s">
        <v>465</v>
      </c>
      <c r="D12" s="255"/>
      <c r="E12" s="39"/>
      <c r="F12" s="254">
        <f>'App9. Data for tables'!$C$23</f>
        <v>3800</v>
      </c>
      <c r="G12" s="256">
        <f>'App9. Data for tables'!$C$78</f>
        <v>10</v>
      </c>
      <c r="H12" s="254">
        <f t="shared" si="0"/>
        <v>38000</v>
      </c>
    </row>
    <row r="13" spans="1:9" x14ac:dyDescent="0.25">
      <c r="B13" s="9" t="s">
        <v>161</v>
      </c>
      <c r="C13" s="15" t="s">
        <v>466</v>
      </c>
      <c r="D13" s="255"/>
      <c r="E13" s="39"/>
      <c r="F13" s="254">
        <f>'App9. Data for tables'!$C$24</f>
        <v>1000</v>
      </c>
      <c r="G13" s="256">
        <f>'App9. Data for tables'!$C$78</f>
        <v>10</v>
      </c>
      <c r="H13" s="254">
        <f t="shared" si="0"/>
        <v>10000</v>
      </c>
      <c r="I13" s="54"/>
    </row>
    <row r="14" spans="1:9" x14ac:dyDescent="0.25">
      <c r="B14" s="9" t="s">
        <v>161</v>
      </c>
      <c r="C14" s="15" t="s">
        <v>162</v>
      </c>
      <c r="D14" s="254"/>
      <c r="E14" s="254"/>
      <c r="F14" s="254">
        <f>'App9. Data for tables'!$C$25+'App9. Data for tables'!$C$26</f>
        <v>900</v>
      </c>
      <c r="G14" s="256">
        <f>'App9. Data for tables'!$C$78</f>
        <v>10</v>
      </c>
      <c r="H14" s="254">
        <f t="shared" si="0"/>
        <v>9000</v>
      </c>
    </row>
    <row r="15" spans="1:9" ht="16.8" x14ac:dyDescent="0.25">
      <c r="B15" s="9" t="s">
        <v>161</v>
      </c>
      <c r="C15" s="15" t="s">
        <v>163</v>
      </c>
      <c r="D15" s="254"/>
      <c r="E15" s="254"/>
      <c r="F15" s="255">
        <f>'App9. Data for tables'!$C$27</f>
        <v>3000</v>
      </c>
      <c r="G15" s="256">
        <f>'App9. Data for tables'!$C$78</f>
        <v>10</v>
      </c>
      <c r="H15" s="254">
        <f t="shared" si="0"/>
        <v>30000</v>
      </c>
    </row>
    <row r="16" spans="1:9" ht="16.8" x14ac:dyDescent="0.25">
      <c r="B16" s="9" t="s">
        <v>161</v>
      </c>
      <c r="C16" s="15" t="s">
        <v>164</v>
      </c>
      <c r="D16" s="255"/>
      <c r="E16" s="256"/>
      <c r="F16" s="254">
        <f>('App9. Data for tables'!$C$28*'App9. Data for tables'!$C$29)+('App9. Data for tables'!$C$30*'App9. Data for tables'!$C$31)</f>
        <v>1235</v>
      </c>
      <c r="G16" s="256">
        <f>'App9. Data for tables'!$C$78</f>
        <v>10</v>
      </c>
      <c r="H16" s="254">
        <f t="shared" si="0"/>
        <v>12350</v>
      </c>
      <c r="I16" s="54"/>
    </row>
    <row r="17" spans="2:17" ht="16.8" x14ac:dyDescent="0.25">
      <c r="B17" s="9" t="s">
        <v>161</v>
      </c>
      <c r="C17" s="15" t="s">
        <v>165</v>
      </c>
      <c r="D17" s="257"/>
      <c r="E17" s="256"/>
      <c r="F17" s="254">
        <f>('App9. Data for tables'!$C$32*'App9. Data for tables'!$C$33)+('App9. Data for tables'!$C$34*'App9. Data for tables'!$C$35)</f>
        <v>0</v>
      </c>
      <c r="G17" s="256">
        <f>'App9. Data for tables'!$C$78</f>
        <v>10</v>
      </c>
      <c r="H17" s="254">
        <f t="shared" si="0"/>
        <v>0</v>
      </c>
      <c r="I17" s="11"/>
    </row>
    <row r="18" spans="2:17" ht="16.8" x14ac:dyDescent="0.25">
      <c r="B18" s="9" t="s">
        <v>161</v>
      </c>
      <c r="C18" s="15" t="s">
        <v>166</v>
      </c>
      <c r="D18" s="254"/>
      <c r="E18" s="254"/>
      <c r="F18" s="255">
        <f>'App9. Data for tables'!$C$36+('App9. Data for tables'!$C$37*'App9. Data for tables'!$C$38)</f>
        <v>215.57999999999998</v>
      </c>
      <c r="G18" s="256">
        <f>'App9. Data for tables'!$C$78</f>
        <v>10</v>
      </c>
      <c r="H18" s="254">
        <f t="shared" si="0"/>
        <v>2155.7999999999997</v>
      </c>
      <c r="I18" s="55"/>
    </row>
    <row r="19" spans="2:17" ht="16.8" x14ac:dyDescent="0.25">
      <c r="B19" s="9" t="s">
        <v>161</v>
      </c>
      <c r="C19" s="15" t="s">
        <v>467</v>
      </c>
      <c r="D19" s="254"/>
      <c r="E19" s="254"/>
      <c r="F19" s="255">
        <f>'App9. Data for tables'!$C$39</f>
        <v>100</v>
      </c>
      <c r="G19" s="256">
        <f>'App9. Data for tables'!$C$78</f>
        <v>10</v>
      </c>
      <c r="H19" s="254">
        <f t="shared" si="0"/>
        <v>1000</v>
      </c>
      <c r="I19" s="33"/>
    </row>
    <row r="20" spans="2:17" ht="16.8" x14ac:dyDescent="0.25">
      <c r="B20" s="9" t="s">
        <v>161</v>
      </c>
      <c r="C20" s="15" t="s">
        <v>468</v>
      </c>
      <c r="D20" s="254"/>
      <c r="E20" s="254"/>
      <c r="F20" s="255">
        <f>('App9. Data for tables'!$C$40*'App9. Data for tables'!$C$41)</f>
        <v>0</v>
      </c>
      <c r="G20" s="256">
        <f>'App9. Data for tables'!$C$78</f>
        <v>10</v>
      </c>
      <c r="H20" s="254">
        <f t="shared" si="0"/>
        <v>0</v>
      </c>
      <c r="I20" s="33"/>
    </row>
    <row r="21" spans="2:17" x14ac:dyDescent="0.25">
      <c r="B21" s="9" t="s">
        <v>161</v>
      </c>
      <c r="C21" s="15" t="s">
        <v>167</v>
      </c>
      <c r="D21" s="255"/>
      <c r="E21" s="39"/>
      <c r="F21" s="254">
        <f>'App9. Data for tables'!$C$42</f>
        <v>170</v>
      </c>
      <c r="G21" s="256">
        <f>'App9. Data for tables'!$C$78</f>
        <v>10</v>
      </c>
      <c r="H21" s="254">
        <f t="shared" si="0"/>
        <v>1700</v>
      </c>
      <c r="I21" s="55"/>
    </row>
    <row r="22" spans="2:17" x14ac:dyDescent="0.25">
      <c r="B22" s="9" t="s">
        <v>161</v>
      </c>
      <c r="C22" s="15" t="s">
        <v>168</v>
      </c>
      <c r="D22" s="254"/>
      <c r="E22" s="256"/>
      <c r="F22" s="255">
        <f>'App9. Data for tables'!$C$43</f>
        <v>180</v>
      </c>
      <c r="G22" s="256">
        <f>'App9. Data for tables'!$C$78</f>
        <v>10</v>
      </c>
      <c r="H22" s="254">
        <f t="shared" si="0"/>
        <v>1800</v>
      </c>
    </row>
    <row r="23" spans="2:17" ht="16.8" x14ac:dyDescent="0.25">
      <c r="B23" s="9" t="s">
        <v>161</v>
      </c>
      <c r="C23" s="15" t="s">
        <v>169</v>
      </c>
      <c r="D23" s="254"/>
      <c r="E23" s="256"/>
      <c r="F23" s="255">
        <f>('App9. Data for tables'!$C$44*'App9. Data for tables'!$C$45)</f>
        <v>361.27</v>
      </c>
      <c r="G23" s="256">
        <f>'App9. Data for tables'!$C$78</f>
        <v>10</v>
      </c>
      <c r="H23" s="254">
        <f t="shared" si="0"/>
        <v>3612.7</v>
      </c>
    </row>
    <row r="24" spans="2:17" ht="16.8" x14ac:dyDescent="0.25">
      <c r="B24" s="9" t="s">
        <v>161</v>
      </c>
      <c r="C24" s="15" t="s">
        <v>170</v>
      </c>
      <c r="D24" s="255"/>
      <c r="E24" s="255"/>
      <c r="F24" s="255">
        <f>'App9. Data for tables'!$C$48+('App9. Data for tables'!$C$49*'App9. Data for tables'!$C$50)</f>
        <v>4015.84</v>
      </c>
      <c r="G24" s="256">
        <f>'App9. Data for tables'!$C$78</f>
        <v>10</v>
      </c>
      <c r="H24" s="254">
        <f t="shared" si="0"/>
        <v>40158.400000000001</v>
      </c>
    </row>
    <row r="25" spans="2:17" ht="16.8" x14ac:dyDescent="0.25">
      <c r="B25" s="9" t="s">
        <v>161</v>
      </c>
      <c r="C25" s="15" t="s">
        <v>49</v>
      </c>
      <c r="D25" s="254"/>
      <c r="E25" s="254"/>
      <c r="F25" s="255">
        <f>'App9. Data for tables'!$C$51*'App9. Data for tables'!$C$52</f>
        <v>9.9</v>
      </c>
      <c r="G25" s="256">
        <f>'App9. Data for tables'!$C$78</f>
        <v>10</v>
      </c>
      <c r="H25" s="254">
        <f t="shared" si="0"/>
        <v>99</v>
      </c>
    </row>
    <row r="26" spans="2:17" ht="16.8" x14ac:dyDescent="0.25">
      <c r="B26" s="9" t="s">
        <v>161</v>
      </c>
      <c r="C26" s="15" t="s">
        <v>171</v>
      </c>
      <c r="D26" s="254"/>
      <c r="E26" s="256"/>
      <c r="F26" s="255">
        <f>SUM('App9. Data for tables'!$C$53:$C$57)</f>
        <v>360</v>
      </c>
      <c r="G26" s="256">
        <f>'App9. Data for tables'!$C$78</f>
        <v>10</v>
      </c>
      <c r="H26" s="254">
        <f t="shared" si="0"/>
        <v>3600</v>
      </c>
    </row>
    <row r="27" spans="2:17" ht="16.8" x14ac:dyDescent="0.25">
      <c r="B27" s="9" t="s">
        <v>161</v>
      </c>
      <c r="C27" s="15" t="s">
        <v>172</v>
      </c>
      <c r="D27" s="254"/>
      <c r="E27" s="256"/>
      <c r="F27" s="255">
        <f>'App9. Data for tables'!$C$58</f>
        <v>270</v>
      </c>
      <c r="G27" s="256">
        <f>'App9. Data for tables'!$C$78</f>
        <v>10</v>
      </c>
      <c r="H27" s="254">
        <f t="shared" si="0"/>
        <v>2700</v>
      </c>
      <c r="J27" s="14"/>
      <c r="K27" s="14"/>
      <c r="L27" s="14"/>
      <c r="M27" s="14"/>
      <c r="N27" s="14"/>
      <c r="O27" s="14"/>
      <c r="P27" s="14"/>
      <c r="Q27" s="14"/>
    </row>
    <row r="28" spans="2:17" ht="16.8" x14ac:dyDescent="0.25">
      <c r="B28" s="9" t="s">
        <v>161</v>
      </c>
      <c r="C28" s="15" t="s">
        <v>173</v>
      </c>
      <c r="D28" s="255"/>
      <c r="E28" s="39"/>
      <c r="F28" s="254">
        <f>'App9. Data for tables'!$C$68</f>
        <v>300</v>
      </c>
      <c r="G28" s="256">
        <f>'App9. Data for tables'!$C$78</f>
        <v>10</v>
      </c>
      <c r="H28" s="254">
        <f t="shared" si="0"/>
        <v>3000</v>
      </c>
      <c r="I28" s="55"/>
      <c r="J28" s="14"/>
      <c r="K28" s="14"/>
      <c r="L28" s="14"/>
      <c r="M28" s="14"/>
      <c r="N28" s="14"/>
      <c r="O28" s="14"/>
      <c r="P28" s="14"/>
      <c r="Q28" s="14"/>
    </row>
    <row r="29" spans="2:17" x14ac:dyDescent="0.25">
      <c r="B29" s="9" t="s">
        <v>161</v>
      </c>
      <c r="C29" s="15" t="s">
        <v>58</v>
      </c>
      <c r="D29" s="254"/>
      <c r="E29" s="256"/>
      <c r="F29" s="255">
        <f>'App9. Data for tables'!$C$69</f>
        <v>190</v>
      </c>
      <c r="G29" s="256">
        <f>'App9. Data for tables'!$C$78</f>
        <v>10</v>
      </c>
      <c r="H29" s="254">
        <f t="shared" si="0"/>
        <v>1900</v>
      </c>
      <c r="J29" s="14"/>
      <c r="K29" s="14"/>
      <c r="L29" s="14"/>
      <c r="M29" s="14"/>
      <c r="N29" s="14"/>
      <c r="O29" s="14"/>
      <c r="P29" s="14"/>
      <c r="Q29" s="14"/>
    </row>
    <row r="30" spans="2:17" x14ac:dyDescent="0.25">
      <c r="B30" s="9" t="s">
        <v>161</v>
      </c>
      <c r="C30" s="15" t="s">
        <v>59</v>
      </c>
      <c r="D30" s="254"/>
      <c r="E30" s="256"/>
      <c r="F30" s="255">
        <f>'App9. Data for tables'!$C$70</f>
        <v>200</v>
      </c>
      <c r="G30" s="256">
        <f>'App9. Data for tables'!$C$78</f>
        <v>10</v>
      </c>
      <c r="H30" s="254">
        <f t="shared" si="0"/>
        <v>2000</v>
      </c>
      <c r="I30" s="54"/>
      <c r="J30" s="14"/>
      <c r="K30" s="14"/>
      <c r="L30" s="14"/>
      <c r="M30" s="14"/>
      <c r="N30" s="14"/>
      <c r="O30" s="14"/>
      <c r="P30" s="14"/>
      <c r="Q30" s="14"/>
    </row>
    <row r="31" spans="2:17" x14ac:dyDescent="0.25">
      <c r="B31" s="9" t="s">
        <v>161</v>
      </c>
      <c r="C31" s="15" t="s">
        <v>174</v>
      </c>
      <c r="D31" s="254"/>
      <c r="E31" s="256"/>
      <c r="F31" s="255">
        <f>'App9. Data for tables'!$C$71</f>
        <v>600</v>
      </c>
      <c r="G31" s="256">
        <f>'App9. Data for tables'!$C$78</f>
        <v>10</v>
      </c>
      <c r="H31" s="254">
        <f t="shared" si="0"/>
        <v>6000</v>
      </c>
      <c r="J31" s="14"/>
      <c r="K31" s="14"/>
      <c r="L31" s="14"/>
      <c r="M31" s="14"/>
      <c r="N31" s="14"/>
      <c r="O31" s="14"/>
      <c r="P31" s="14"/>
      <c r="Q31" s="14"/>
    </row>
    <row r="32" spans="2:17" ht="16.8" x14ac:dyDescent="0.25">
      <c r="B32" s="9" t="s">
        <v>161</v>
      </c>
      <c r="C32" s="15" t="s">
        <v>175</v>
      </c>
      <c r="D32" s="254"/>
      <c r="E32" s="256"/>
      <c r="F32" s="255">
        <f>'App9. Data for tables'!$C$72</f>
        <v>750</v>
      </c>
      <c r="G32" s="256">
        <f>'App9. Data for tables'!$C$78</f>
        <v>10</v>
      </c>
      <c r="H32" s="254">
        <f t="shared" si="0"/>
        <v>7500</v>
      </c>
      <c r="J32" s="14"/>
      <c r="K32" s="14"/>
      <c r="L32" s="14"/>
      <c r="M32" s="14"/>
      <c r="N32" s="14"/>
      <c r="O32" s="14"/>
      <c r="P32" s="14"/>
      <c r="Q32" s="14"/>
    </row>
    <row r="33" spans="2:17" ht="36" customHeight="1" x14ac:dyDescent="0.25">
      <c r="B33" s="14" t="s">
        <v>41</v>
      </c>
      <c r="C33" s="15" t="s">
        <v>164</v>
      </c>
      <c r="D33" s="248"/>
      <c r="E33" s="212"/>
      <c r="F33" s="194">
        <f>('App9. Data for tables'!$D$28*'App9. Data for tables'!$D$29)+('App9. Data for tables'!$D$30*'App9. Data for tables'!$D$31)</f>
        <v>1211.25</v>
      </c>
      <c r="G33" s="212">
        <f>'App9. Data for tables'!$D$78</f>
        <v>10</v>
      </c>
      <c r="H33" s="194">
        <f t="shared" si="0"/>
        <v>12112.5</v>
      </c>
      <c r="I33" s="194"/>
      <c r="J33" s="249"/>
      <c r="K33" s="195"/>
      <c r="L33" s="250"/>
      <c r="M33" s="249"/>
      <c r="N33" s="195"/>
      <c r="O33" s="250"/>
      <c r="P33" s="249"/>
      <c r="Q33" s="195"/>
    </row>
    <row r="34" spans="2:17" ht="16.8" x14ac:dyDescent="0.25">
      <c r="B34" s="14" t="s">
        <v>41</v>
      </c>
      <c r="C34" s="15" t="s">
        <v>165</v>
      </c>
      <c r="D34" s="257"/>
      <c r="E34" s="256"/>
      <c r="F34" s="254">
        <f>('App9. Data for tables'!$D$32*'App9. Data for tables'!$D$33)+('App9. Data for tables'!$D$34*'App9. Data for tables'!$D$35)</f>
        <v>0</v>
      </c>
      <c r="G34" s="212">
        <f>'App9. Data for tables'!$D$78</f>
        <v>10</v>
      </c>
      <c r="H34" s="254">
        <f t="shared" si="0"/>
        <v>0</v>
      </c>
      <c r="I34" s="11"/>
      <c r="J34" s="14"/>
      <c r="K34" s="14"/>
      <c r="L34" s="14"/>
      <c r="M34" s="14"/>
      <c r="N34" s="14"/>
      <c r="O34" s="14"/>
      <c r="P34" s="14"/>
      <c r="Q34" s="14"/>
    </row>
    <row r="35" spans="2:17" ht="16.8" x14ac:dyDescent="0.25">
      <c r="B35" s="14" t="s">
        <v>41</v>
      </c>
      <c r="C35" s="15" t="s">
        <v>166</v>
      </c>
      <c r="D35" s="254"/>
      <c r="E35" s="254"/>
      <c r="F35" s="255">
        <f>'App9. Data for tables'!$D$36+('App9. Data for tables'!$D$37*'App9. Data for tables'!$D$38)</f>
        <v>491.15999999999997</v>
      </c>
      <c r="G35" s="212">
        <f>'App9. Data for tables'!$D$78</f>
        <v>10</v>
      </c>
      <c r="H35" s="254">
        <f t="shared" si="0"/>
        <v>4911.5999999999995</v>
      </c>
      <c r="I35" s="33"/>
      <c r="J35" s="14"/>
      <c r="K35" s="167"/>
      <c r="L35" s="14"/>
      <c r="M35" s="14"/>
      <c r="N35" s="167"/>
      <c r="O35" s="14"/>
      <c r="P35" s="14"/>
      <c r="Q35" s="167"/>
    </row>
    <row r="36" spans="2:17" ht="16.8" x14ac:dyDescent="0.25">
      <c r="B36" s="14" t="s">
        <v>41</v>
      </c>
      <c r="C36" s="15" t="s">
        <v>467</v>
      </c>
      <c r="D36" s="254"/>
      <c r="E36" s="254"/>
      <c r="F36" s="255">
        <f>'App9. Data for tables'!$D$39</f>
        <v>100</v>
      </c>
      <c r="G36" s="212">
        <f>'App9. Data for tables'!$D$78</f>
        <v>10</v>
      </c>
      <c r="H36" s="254">
        <f t="shared" ref="H36:H67" si="1">F36*G36</f>
        <v>1000</v>
      </c>
      <c r="I36" s="33"/>
      <c r="J36" s="14"/>
      <c r="K36" s="167"/>
      <c r="L36" s="14"/>
      <c r="M36" s="14"/>
      <c r="N36" s="167"/>
      <c r="O36" s="14"/>
      <c r="P36" s="14"/>
      <c r="Q36" s="167"/>
    </row>
    <row r="37" spans="2:17" ht="16.8" x14ac:dyDescent="0.25">
      <c r="B37" s="14" t="s">
        <v>41</v>
      </c>
      <c r="C37" s="15" t="s">
        <v>468</v>
      </c>
      <c r="D37" s="254"/>
      <c r="E37" s="254"/>
      <c r="F37" s="255">
        <f>('App9. Data for tables'!$D$40*'App9. Data for tables'!$D$41)</f>
        <v>24.75</v>
      </c>
      <c r="G37" s="212">
        <f>'App9. Data for tables'!$D$78</f>
        <v>10</v>
      </c>
      <c r="H37" s="254">
        <f t="shared" si="1"/>
        <v>247.5</v>
      </c>
      <c r="I37" s="33"/>
      <c r="J37" s="14"/>
      <c r="K37" s="167"/>
      <c r="L37" s="14"/>
      <c r="M37" s="14"/>
      <c r="N37" s="167"/>
      <c r="O37" s="14"/>
      <c r="P37" s="14"/>
      <c r="Q37" s="167"/>
    </row>
    <row r="38" spans="2:17" x14ac:dyDescent="0.25">
      <c r="B38" s="14" t="s">
        <v>41</v>
      </c>
      <c r="C38" s="15" t="s">
        <v>167</v>
      </c>
      <c r="D38" s="255"/>
      <c r="E38" s="39"/>
      <c r="F38" s="254">
        <f>'App9. Data for tables'!$D$42</f>
        <v>170</v>
      </c>
      <c r="G38" s="212">
        <f>'App9. Data for tables'!$D$78</f>
        <v>10</v>
      </c>
      <c r="H38" s="254">
        <f t="shared" si="1"/>
        <v>1700</v>
      </c>
      <c r="J38" s="14"/>
      <c r="K38" s="14"/>
      <c r="L38" s="14"/>
      <c r="M38" s="14"/>
      <c r="N38" s="14"/>
      <c r="O38" s="17"/>
      <c r="P38" s="18"/>
      <c r="Q38" s="166"/>
    </row>
    <row r="39" spans="2:17" x14ac:dyDescent="0.25">
      <c r="B39" s="14" t="s">
        <v>41</v>
      </c>
      <c r="C39" s="15" t="s">
        <v>168</v>
      </c>
      <c r="D39" s="254"/>
      <c r="E39" s="256"/>
      <c r="F39" s="255">
        <f>'App9. Data for tables'!$D$43</f>
        <v>180</v>
      </c>
      <c r="G39" s="212">
        <f>'App9. Data for tables'!$D$78</f>
        <v>10</v>
      </c>
      <c r="H39" s="254">
        <f t="shared" si="1"/>
        <v>1800</v>
      </c>
      <c r="J39" s="14"/>
      <c r="K39" s="14"/>
      <c r="L39" s="14"/>
      <c r="M39" s="14"/>
      <c r="N39" s="14"/>
      <c r="O39" s="14"/>
      <c r="P39" s="14"/>
      <c r="Q39" s="14"/>
    </row>
    <row r="40" spans="2:17" ht="16.8" x14ac:dyDescent="0.25">
      <c r="B40" s="14" t="s">
        <v>41</v>
      </c>
      <c r="C40" s="15" t="s">
        <v>169</v>
      </c>
      <c r="D40" s="254"/>
      <c r="E40" s="256"/>
      <c r="F40" s="255">
        <f>('App9. Data for tables'!$D$44*'App9. Data for tables'!$D$45)</f>
        <v>361.27</v>
      </c>
      <c r="G40" s="212">
        <f>'App9. Data for tables'!$D$78</f>
        <v>10</v>
      </c>
      <c r="H40" s="254">
        <f t="shared" si="1"/>
        <v>3612.7</v>
      </c>
      <c r="J40" s="14"/>
      <c r="K40" s="14"/>
      <c r="L40" s="14"/>
      <c r="M40" s="14"/>
      <c r="N40" s="14"/>
      <c r="O40" s="14"/>
      <c r="P40" s="14"/>
      <c r="Q40" s="14"/>
    </row>
    <row r="41" spans="2:17" ht="16.8" x14ac:dyDescent="0.25">
      <c r="B41" s="14" t="s">
        <v>41</v>
      </c>
      <c r="C41" s="15" t="s">
        <v>49</v>
      </c>
      <c r="D41" s="254"/>
      <c r="E41" s="254"/>
      <c r="F41" s="255">
        <f>'App9. Data for tables'!$D$51*'App9. Data for tables'!$D$52</f>
        <v>9.9</v>
      </c>
      <c r="G41" s="212">
        <f>'App9. Data for tables'!$D$78</f>
        <v>10</v>
      </c>
      <c r="H41" s="254">
        <f t="shared" si="1"/>
        <v>99</v>
      </c>
      <c r="J41" s="14"/>
      <c r="K41" s="14"/>
      <c r="L41" s="14"/>
      <c r="M41" s="14"/>
      <c r="N41" s="14"/>
      <c r="O41" s="14"/>
      <c r="P41" s="14"/>
      <c r="Q41" s="14"/>
    </row>
    <row r="42" spans="2:17" ht="16.8" x14ac:dyDescent="0.25">
      <c r="B42" s="14" t="s">
        <v>41</v>
      </c>
      <c r="C42" s="15" t="s">
        <v>171</v>
      </c>
      <c r="D42" s="254"/>
      <c r="E42" s="256"/>
      <c r="F42" s="255">
        <f>SUM('App9. Data for tables'!$D$53:$D$57)</f>
        <v>360</v>
      </c>
      <c r="G42" s="212">
        <f>'App9. Data for tables'!$D$78</f>
        <v>10</v>
      </c>
      <c r="H42" s="254">
        <f t="shared" si="1"/>
        <v>3600</v>
      </c>
      <c r="J42" s="14"/>
      <c r="K42" s="14"/>
      <c r="L42" s="14"/>
      <c r="M42" s="14"/>
      <c r="N42" s="14"/>
      <c r="O42" s="14"/>
      <c r="P42" s="14"/>
      <c r="Q42" s="167"/>
    </row>
    <row r="43" spans="2:17" ht="16.8" x14ac:dyDescent="0.25">
      <c r="B43" s="14" t="s">
        <v>41</v>
      </c>
      <c r="C43" s="15" t="s">
        <v>172</v>
      </c>
      <c r="D43" s="254"/>
      <c r="E43" s="256"/>
      <c r="F43" s="255">
        <f>'App9. Data for tables'!$D$58</f>
        <v>270</v>
      </c>
      <c r="G43" s="212">
        <f>'App9. Data for tables'!$D$78</f>
        <v>10</v>
      </c>
      <c r="H43" s="254">
        <f t="shared" si="1"/>
        <v>2700</v>
      </c>
      <c r="J43" s="14"/>
      <c r="K43" s="14"/>
      <c r="L43" s="14"/>
      <c r="M43" s="14"/>
      <c r="N43" s="14"/>
      <c r="O43" s="14"/>
      <c r="P43" s="14"/>
      <c r="Q43" s="167"/>
    </row>
    <row r="44" spans="2:17" ht="16.8" x14ac:dyDescent="0.25">
      <c r="B44" s="14" t="s">
        <v>41</v>
      </c>
      <c r="C44" s="15" t="s">
        <v>173</v>
      </c>
      <c r="D44" s="255"/>
      <c r="E44" s="39"/>
      <c r="F44" s="254">
        <f>'App9. Data for tables'!$D$68</f>
        <v>300</v>
      </c>
      <c r="G44" s="212">
        <f>'App9. Data for tables'!$D$78</f>
        <v>10</v>
      </c>
      <c r="H44" s="254">
        <f t="shared" si="1"/>
        <v>3000</v>
      </c>
      <c r="J44" s="14"/>
      <c r="K44" s="14"/>
      <c r="L44" s="14"/>
      <c r="M44" s="14"/>
      <c r="N44" s="14"/>
      <c r="O44" s="17"/>
      <c r="P44" s="18"/>
      <c r="Q44" s="166"/>
    </row>
    <row r="45" spans="2:17" x14ac:dyDescent="0.25">
      <c r="B45" s="14" t="s">
        <v>41</v>
      </c>
      <c r="C45" s="15" t="s">
        <v>58</v>
      </c>
      <c r="D45" s="254"/>
      <c r="E45" s="256"/>
      <c r="F45" s="255">
        <f>'App9. Data for tables'!$D$69</f>
        <v>190</v>
      </c>
      <c r="G45" s="212">
        <f>'App9. Data for tables'!$D$78</f>
        <v>10</v>
      </c>
      <c r="H45" s="254">
        <f t="shared" si="1"/>
        <v>1900</v>
      </c>
      <c r="J45" s="14"/>
      <c r="K45" s="14"/>
      <c r="L45" s="14"/>
      <c r="M45" s="14"/>
      <c r="N45" s="14"/>
      <c r="O45" s="14"/>
      <c r="P45" s="14"/>
      <c r="Q45" s="14"/>
    </row>
    <row r="46" spans="2:17" x14ac:dyDescent="0.25">
      <c r="B46" s="14" t="s">
        <v>41</v>
      </c>
      <c r="C46" s="15" t="s">
        <v>59</v>
      </c>
      <c r="D46" s="254"/>
      <c r="E46" s="256"/>
      <c r="F46" s="255">
        <f>'App9. Data for tables'!$D$70</f>
        <v>200</v>
      </c>
      <c r="G46" s="212">
        <f>'App9. Data for tables'!$D$78</f>
        <v>10</v>
      </c>
      <c r="H46" s="254">
        <f t="shared" si="1"/>
        <v>2000</v>
      </c>
      <c r="J46" s="14"/>
      <c r="K46" s="14"/>
      <c r="L46" s="14"/>
      <c r="M46" s="14"/>
      <c r="N46" s="14"/>
      <c r="O46" s="14"/>
      <c r="P46" s="14"/>
      <c r="Q46" s="14"/>
    </row>
    <row r="47" spans="2:17" x14ac:dyDescent="0.25">
      <c r="B47" s="14" t="s">
        <v>41</v>
      </c>
      <c r="C47" s="15" t="s">
        <v>174</v>
      </c>
      <c r="D47" s="254"/>
      <c r="E47" s="256"/>
      <c r="F47" s="255">
        <f>'App9. Data for tables'!$D$71</f>
        <v>600</v>
      </c>
      <c r="G47" s="212">
        <f>'App9. Data for tables'!$D$78</f>
        <v>10</v>
      </c>
      <c r="H47" s="254">
        <f t="shared" si="1"/>
        <v>6000</v>
      </c>
      <c r="J47" s="14"/>
      <c r="K47" s="14"/>
      <c r="L47" s="14"/>
      <c r="M47" s="14"/>
      <c r="N47" s="14"/>
      <c r="O47" s="14"/>
      <c r="P47" s="14"/>
      <c r="Q47" s="14"/>
    </row>
    <row r="48" spans="2:17" ht="16.8" x14ac:dyDescent="0.25">
      <c r="B48" s="14" t="s">
        <v>41</v>
      </c>
      <c r="C48" s="15" t="s">
        <v>175</v>
      </c>
      <c r="D48" s="254"/>
      <c r="E48" s="256"/>
      <c r="F48" s="255">
        <f>'App9. Data for tables'!$C$72</f>
        <v>750</v>
      </c>
      <c r="G48" s="212">
        <f>'App9. Data for tables'!$D$78</f>
        <v>10</v>
      </c>
      <c r="H48" s="254">
        <f t="shared" si="1"/>
        <v>7500</v>
      </c>
      <c r="J48" s="14"/>
      <c r="K48" s="14"/>
      <c r="L48" s="14"/>
      <c r="M48" s="14"/>
      <c r="N48" s="14"/>
      <c r="O48" s="14"/>
      <c r="P48" s="14"/>
      <c r="Q48" s="14"/>
    </row>
    <row r="49" spans="2:17" ht="36" customHeight="1" x14ac:dyDescent="0.25">
      <c r="B49" s="14" t="s">
        <v>42</v>
      </c>
      <c r="C49" s="15" t="s">
        <v>164</v>
      </c>
      <c r="D49" s="248"/>
      <c r="E49" s="212"/>
      <c r="F49" s="194">
        <f>('App9. Data for tables'!$E$28*'App9. Data for tables'!$E$29)+('App9. Data for tables'!$E$30*'App9. Data for tables'!$E$31)</f>
        <v>1235</v>
      </c>
      <c r="G49" s="212">
        <f>'App9. Data for tables'!$E$78</f>
        <v>10</v>
      </c>
      <c r="H49" s="194">
        <f t="shared" si="1"/>
        <v>12350</v>
      </c>
      <c r="I49" s="194"/>
      <c r="J49" s="14"/>
      <c r="K49" s="14"/>
      <c r="L49" s="14"/>
      <c r="M49" s="14"/>
      <c r="N49" s="14"/>
      <c r="O49" s="14"/>
      <c r="P49" s="14"/>
      <c r="Q49" s="14"/>
    </row>
    <row r="50" spans="2:17" ht="16.8" x14ac:dyDescent="0.25">
      <c r="B50" s="14" t="s">
        <v>42</v>
      </c>
      <c r="C50" s="15" t="s">
        <v>165</v>
      </c>
      <c r="D50" s="257"/>
      <c r="E50" s="256"/>
      <c r="F50" s="254">
        <f>('App9. Data for tables'!$E$32*'App9. Data for tables'!$E$33)+('App9. Data for tables'!$E$34*'App9. Data for tables'!$E$35)</f>
        <v>0</v>
      </c>
      <c r="G50" s="256">
        <f>'App9. Data for tables'!$E$78</f>
        <v>10</v>
      </c>
      <c r="H50" s="254">
        <f t="shared" si="1"/>
        <v>0</v>
      </c>
      <c r="I50" s="11"/>
      <c r="J50" s="14"/>
      <c r="K50" s="14"/>
      <c r="L50" s="14"/>
      <c r="M50" s="14"/>
      <c r="N50" s="14"/>
      <c r="O50" s="14"/>
      <c r="P50" s="14"/>
      <c r="Q50" s="14"/>
    </row>
    <row r="51" spans="2:17" ht="16.8" x14ac:dyDescent="0.25">
      <c r="B51" s="14" t="s">
        <v>42</v>
      </c>
      <c r="C51" s="15" t="s">
        <v>166</v>
      </c>
      <c r="D51" s="254"/>
      <c r="E51" s="254"/>
      <c r="F51" s="255">
        <f>'App9. Data for tables'!$E$36+('App9. Data for tables'!$E$37*'App9. Data for tables'!$E$38)</f>
        <v>1637.32</v>
      </c>
      <c r="G51" s="256">
        <f>'App9. Data for tables'!$E$78</f>
        <v>10</v>
      </c>
      <c r="H51" s="254">
        <f t="shared" si="1"/>
        <v>16373.199999999999</v>
      </c>
      <c r="J51" s="14"/>
      <c r="K51" s="14"/>
      <c r="L51" s="14"/>
      <c r="M51" s="14"/>
      <c r="N51" s="14"/>
      <c r="O51" s="14"/>
      <c r="P51" s="14"/>
      <c r="Q51" s="14"/>
    </row>
    <row r="52" spans="2:17" ht="16.8" x14ac:dyDescent="0.25">
      <c r="B52" s="14" t="s">
        <v>42</v>
      </c>
      <c r="C52" s="15" t="s">
        <v>467</v>
      </c>
      <c r="D52" s="254"/>
      <c r="E52" s="254"/>
      <c r="F52" s="255">
        <f>'App9. Data for tables'!$E$39</f>
        <v>220</v>
      </c>
      <c r="G52" s="256">
        <f>'App9. Data for tables'!$E$78</f>
        <v>10</v>
      </c>
      <c r="H52" s="254">
        <f t="shared" si="1"/>
        <v>2200</v>
      </c>
      <c r="I52" s="33"/>
      <c r="J52" s="14"/>
      <c r="K52" s="167"/>
      <c r="L52" s="14"/>
      <c r="M52" s="14"/>
      <c r="N52" s="167"/>
      <c r="O52" s="14"/>
      <c r="P52" s="14"/>
      <c r="Q52" s="167"/>
    </row>
    <row r="53" spans="2:17" ht="16.8" x14ac:dyDescent="0.25">
      <c r="B53" s="14" t="s">
        <v>42</v>
      </c>
      <c r="C53" s="15" t="s">
        <v>468</v>
      </c>
      <c r="D53" s="254"/>
      <c r="E53" s="254"/>
      <c r="F53" s="255">
        <f>('App9. Data for tables'!$E$40*'App9. Data for tables'!$E$41)</f>
        <v>24.75</v>
      </c>
      <c r="G53" s="256">
        <f>'App9. Data for tables'!$E$78</f>
        <v>10</v>
      </c>
      <c r="H53" s="254">
        <f t="shared" si="1"/>
        <v>247.5</v>
      </c>
      <c r="I53" s="33"/>
      <c r="J53" s="14"/>
      <c r="K53" s="167"/>
      <c r="L53" s="14"/>
      <c r="M53" s="14"/>
      <c r="N53" s="167"/>
      <c r="O53" s="14"/>
      <c r="P53" s="14"/>
      <c r="Q53" s="167"/>
    </row>
    <row r="54" spans="2:17" x14ac:dyDescent="0.25">
      <c r="B54" s="14" t="s">
        <v>42</v>
      </c>
      <c r="C54" s="15" t="s">
        <v>167</v>
      </c>
      <c r="D54" s="255"/>
      <c r="E54" s="39"/>
      <c r="F54" s="254">
        <f>'App9. Data for tables'!$E$42</f>
        <v>170</v>
      </c>
      <c r="G54" s="256">
        <f>'App9. Data for tables'!$E$78</f>
        <v>10</v>
      </c>
      <c r="H54" s="254">
        <f t="shared" si="1"/>
        <v>1700</v>
      </c>
      <c r="J54" s="14"/>
      <c r="K54" s="14"/>
      <c r="L54" s="14"/>
      <c r="M54" s="14"/>
      <c r="N54" s="14"/>
      <c r="O54" s="14"/>
      <c r="P54" s="14"/>
      <c r="Q54" s="14"/>
    </row>
    <row r="55" spans="2:17" x14ac:dyDescent="0.25">
      <c r="B55" s="14" t="s">
        <v>42</v>
      </c>
      <c r="C55" s="15" t="s">
        <v>168</v>
      </c>
      <c r="D55" s="254"/>
      <c r="E55" s="254"/>
      <c r="F55" s="255">
        <f>'App9. Data for tables'!$E$43</f>
        <v>180</v>
      </c>
      <c r="G55" s="256">
        <f>'App9. Data for tables'!$E$78</f>
        <v>10</v>
      </c>
      <c r="H55" s="254">
        <f t="shared" si="1"/>
        <v>1800</v>
      </c>
      <c r="J55" s="14"/>
      <c r="K55" s="14"/>
      <c r="L55" s="14"/>
      <c r="M55" s="14"/>
      <c r="N55" s="14"/>
      <c r="O55" s="14"/>
      <c r="P55" s="14"/>
      <c r="Q55" s="14"/>
    </row>
    <row r="56" spans="2:17" ht="16.8" x14ac:dyDescent="0.25">
      <c r="B56" s="14" t="s">
        <v>42</v>
      </c>
      <c r="C56" s="15" t="s">
        <v>176</v>
      </c>
      <c r="D56" s="254"/>
      <c r="E56" s="254"/>
      <c r="F56" s="255">
        <f>('App9. Data for tables'!$E$44*'App9. Data for tables'!$E$45)</f>
        <v>361.27</v>
      </c>
      <c r="G56" s="256">
        <f>'App9. Data for tables'!$E$78</f>
        <v>10</v>
      </c>
      <c r="H56" s="254">
        <f t="shared" si="1"/>
        <v>3612.7</v>
      </c>
      <c r="J56" s="14"/>
      <c r="K56" s="14"/>
      <c r="L56" s="14"/>
      <c r="M56" s="14"/>
      <c r="N56" s="14"/>
      <c r="O56" s="14"/>
      <c r="P56" s="14"/>
      <c r="Q56" s="14"/>
    </row>
    <row r="57" spans="2:17" x14ac:dyDescent="0.25">
      <c r="B57" s="14" t="s">
        <v>42</v>
      </c>
      <c r="C57" s="15" t="s">
        <v>50</v>
      </c>
      <c r="D57" s="255"/>
      <c r="E57" s="39"/>
      <c r="F57" s="254">
        <f>'App9. Data for tables'!$E$46*'App9. Data for tables'!$E$47</f>
        <v>65</v>
      </c>
      <c r="G57" s="256">
        <f>'App9. Data for tables'!$E$78</f>
        <v>10</v>
      </c>
      <c r="H57" s="254">
        <f t="shared" si="1"/>
        <v>650</v>
      </c>
      <c r="I57" s="54"/>
      <c r="J57" s="14"/>
      <c r="K57" s="14"/>
      <c r="L57" s="14"/>
      <c r="M57" s="14"/>
      <c r="N57" s="14"/>
      <c r="O57" s="14"/>
      <c r="P57" s="14"/>
      <c r="Q57" s="14"/>
    </row>
    <row r="58" spans="2:17" ht="16.8" x14ac:dyDescent="0.25">
      <c r="B58" s="14" t="s">
        <v>42</v>
      </c>
      <c r="C58" s="15" t="s">
        <v>49</v>
      </c>
      <c r="D58" s="254"/>
      <c r="E58" s="254"/>
      <c r="F58" s="255">
        <f>('App9. Data for tables'!$E$51*'App9. Data for tables'!$E$52)</f>
        <v>9.9</v>
      </c>
      <c r="G58" s="256">
        <f>'App9. Data for tables'!$E$78</f>
        <v>10</v>
      </c>
      <c r="H58" s="254">
        <f t="shared" si="1"/>
        <v>99</v>
      </c>
      <c r="J58" s="14"/>
      <c r="K58" s="14"/>
      <c r="L58" s="14"/>
      <c r="M58" s="14"/>
      <c r="N58" s="14"/>
      <c r="O58" s="14"/>
      <c r="P58" s="14"/>
      <c r="Q58" s="14"/>
    </row>
    <row r="59" spans="2:17" ht="16.8" x14ac:dyDescent="0.25">
      <c r="B59" s="14" t="s">
        <v>42</v>
      </c>
      <c r="C59" s="15" t="s">
        <v>171</v>
      </c>
      <c r="D59" s="254"/>
      <c r="E59" s="254"/>
      <c r="F59" s="255">
        <f>SUM('App9. Data for tables'!$E$53:$E$57)</f>
        <v>360</v>
      </c>
      <c r="G59" s="256">
        <f>'App9. Data for tables'!$E$78</f>
        <v>10</v>
      </c>
      <c r="H59" s="254">
        <f t="shared" si="1"/>
        <v>3600</v>
      </c>
      <c r="J59" s="14"/>
      <c r="K59" s="14"/>
      <c r="L59" s="14"/>
      <c r="M59" s="14"/>
      <c r="N59" s="14"/>
      <c r="O59" s="14"/>
      <c r="P59" s="14"/>
      <c r="Q59" s="14"/>
    </row>
    <row r="60" spans="2:17" ht="16.8" x14ac:dyDescent="0.25">
      <c r="B60" s="14" t="s">
        <v>42</v>
      </c>
      <c r="C60" s="15" t="s">
        <v>172</v>
      </c>
      <c r="D60" s="254"/>
      <c r="E60" s="254"/>
      <c r="F60" s="255">
        <f>'App9. Data for tables'!$E$58</f>
        <v>270</v>
      </c>
      <c r="G60" s="256">
        <f>'App9. Data for tables'!$E$78</f>
        <v>10</v>
      </c>
      <c r="H60" s="254">
        <f t="shared" si="1"/>
        <v>2700</v>
      </c>
      <c r="J60" s="14"/>
      <c r="K60" s="14"/>
      <c r="L60" s="14"/>
      <c r="M60" s="14"/>
      <c r="N60" s="14"/>
      <c r="O60" s="14"/>
      <c r="P60" s="14"/>
      <c r="Q60" s="14"/>
    </row>
    <row r="61" spans="2:17" ht="16.8" x14ac:dyDescent="0.25">
      <c r="B61" s="14" t="s">
        <v>42</v>
      </c>
      <c r="C61" s="15" t="s">
        <v>173</v>
      </c>
      <c r="D61" s="255"/>
      <c r="E61" s="39"/>
      <c r="F61" s="254">
        <f>'App9. Data for tables'!$E$68</f>
        <v>300</v>
      </c>
      <c r="G61" s="256">
        <f>'App9. Data for tables'!$E$78</f>
        <v>10</v>
      </c>
      <c r="H61" s="254">
        <f t="shared" si="1"/>
        <v>3000</v>
      </c>
      <c r="J61" s="14"/>
      <c r="K61" s="14"/>
      <c r="L61" s="14"/>
      <c r="M61" s="14"/>
      <c r="N61" s="14"/>
      <c r="O61" s="14"/>
      <c r="P61" s="14"/>
      <c r="Q61" s="14"/>
    </row>
    <row r="62" spans="2:17" x14ac:dyDescent="0.25">
      <c r="B62" s="14" t="s">
        <v>42</v>
      </c>
      <c r="C62" s="15" t="s">
        <v>58</v>
      </c>
      <c r="D62" s="254"/>
      <c r="E62" s="256"/>
      <c r="F62" s="255">
        <f>'App9. Data for tables'!$E$69</f>
        <v>190</v>
      </c>
      <c r="G62" s="256">
        <f>'App9. Data for tables'!$E$78</f>
        <v>10</v>
      </c>
      <c r="H62" s="254">
        <f t="shared" si="1"/>
        <v>1900</v>
      </c>
      <c r="J62" s="14"/>
      <c r="K62" s="14"/>
      <c r="L62" s="14"/>
      <c r="M62" s="14"/>
      <c r="N62" s="14"/>
      <c r="O62" s="14"/>
      <c r="P62" s="14"/>
      <c r="Q62" s="14"/>
    </row>
    <row r="63" spans="2:17" x14ac:dyDescent="0.25">
      <c r="B63" s="14" t="s">
        <v>42</v>
      </c>
      <c r="C63" s="15" t="s">
        <v>59</v>
      </c>
      <c r="D63" s="254"/>
      <c r="E63" s="254"/>
      <c r="F63" s="255">
        <f>'App9. Data for tables'!$E$70</f>
        <v>200</v>
      </c>
      <c r="G63" s="256">
        <f>'App9. Data for tables'!$E$78</f>
        <v>10</v>
      </c>
      <c r="H63" s="254">
        <f t="shared" si="1"/>
        <v>2000</v>
      </c>
      <c r="J63" s="14"/>
      <c r="K63" s="14"/>
      <c r="L63" s="14"/>
      <c r="M63" s="14"/>
      <c r="N63" s="14"/>
      <c r="O63" s="14"/>
      <c r="P63" s="14"/>
      <c r="Q63" s="14"/>
    </row>
    <row r="64" spans="2:17" x14ac:dyDescent="0.25">
      <c r="B64" s="14" t="s">
        <v>42</v>
      </c>
      <c r="C64" s="15" t="s">
        <v>174</v>
      </c>
      <c r="D64" s="254"/>
      <c r="E64" s="254"/>
      <c r="F64" s="255">
        <f>'App9. Data for tables'!$E$71</f>
        <v>600</v>
      </c>
      <c r="G64" s="256">
        <f>'App9. Data for tables'!$E$78</f>
        <v>10</v>
      </c>
      <c r="H64" s="254">
        <f t="shared" si="1"/>
        <v>6000</v>
      </c>
      <c r="J64" s="14"/>
      <c r="K64" s="14"/>
      <c r="L64" s="14"/>
      <c r="M64" s="14"/>
      <c r="N64" s="14"/>
      <c r="O64" s="14"/>
      <c r="P64" s="14"/>
      <c r="Q64" s="14"/>
    </row>
    <row r="65" spans="2:17" ht="16.8" x14ac:dyDescent="0.25">
      <c r="B65" s="14" t="s">
        <v>42</v>
      </c>
      <c r="C65" s="15" t="s">
        <v>175</v>
      </c>
      <c r="D65" s="254"/>
      <c r="E65" s="254"/>
      <c r="F65" s="255">
        <f>'App9. Data for tables'!$E$72</f>
        <v>750</v>
      </c>
      <c r="G65" s="256">
        <f>'App9. Data for tables'!$E$78</f>
        <v>10</v>
      </c>
      <c r="H65" s="254">
        <f t="shared" si="1"/>
        <v>7500</v>
      </c>
      <c r="J65" s="14"/>
      <c r="K65" s="14"/>
      <c r="L65" s="14"/>
      <c r="M65" s="14"/>
      <c r="N65" s="14"/>
      <c r="O65" s="14"/>
      <c r="P65" s="14"/>
      <c r="Q65" s="14"/>
    </row>
    <row r="66" spans="2:17" x14ac:dyDescent="0.25">
      <c r="B66" s="14" t="s">
        <v>42</v>
      </c>
      <c r="C66" s="15" t="s">
        <v>469</v>
      </c>
      <c r="D66" s="255">
        <f>'App9. Data for tables'!$E$59</f>
        <v>43</v>
      </c>
      <c r="E66" s="39">
        <f>'App9. Data for tables'!$E$7</f>
        <v>0</v>
      </c>
      <c r="F66" s="254">
        <f>D66*E66</f>
        <v>0</v>
      </c>
      <c r="G66" s="256">
        <f>'App9. Data for tables'!$E$78</f>
        <v>10</v>
      </c>
      <c r="H66" s="254">
        <f t="shared" si="1"/>
        <v>0</v>
      </c>
      <c r="J66" s="14"/>
      <c r="K66" s="14"/>
      <c r="L66" s="14"/>
      <c r="M66" s="14"/>
      <c r="N66" s="14"/>
      <c r="O66" s="14"/>
      <c r="P66" s="14"/>
      <c r="Q66" s="14"/>
    </row>
    <row r="67" spans="2:17" x14ac:dyDescent="0.25">
      <c r="B67" s="14" t="s">
        <v>42</v>
      </c>
      <c r="C67" s="15" t="s">
        <v>470</v>
      </c>
      <c r="D67" s="255">
        <f>'App9. Data for tables'!$E$60</f>
        <v>11</v>
      </c>
      <c r="E67" s="39">
        <f>'App9. Data for tables'!$E$7</f>
        <v>0</v>
      </c>
      <c r="F67" s="254">
        <f>D67*E67</f>
        <v>0</v>
      </c>
      <c r="G67" s="256">
        <f>'App9. Data for tables'!$E$78</f>
        <v>10</v>
      </c>
      <c r="H67" s="254">
        <f t="shared" si="1"/>
        <v>0</v>
      </c>
      <c r="J67" s="14"/>
      <c r="K67" s="14"/>
      <c r="L67" s="14"/>
      <c r="M67" s="14"/>
      <c r="N67" s="14"/>
      <c r="O67" s="14"/>
      <c r="P67" s="14"/>
      <c r="Q67" s="14"/>
    </row>
    <row r="68" spans="2:17" x14ac:dyDescent="0.25">
      <c r="B68" s="14" t="s">
        <v>42</v>
      </c>
      <c r="C68" s="15" t="s">
        <v>471</v>
      </c>
      <c r="D68" s="255">
        <f>'App9. Data for tables'!$E$61</f>
        <v>11</v>
      </c>
      <c r="E68" s="39">
        <f>'App9. Data for tables'!$E$7</f>
        <v>0</v>
      </c>
      <c r="F68" s="254">
        <f>D68*E68</f>
        <v>0</v>
      </c>
      <c r="G68" s="256">
        <f>'App9. Data for tables'!$E$78</f>
        <v>10</v>
      </c>
      <c r="H68" s="254">
        <f t="shared" ref="H68:H99" si="2">F68*G68</f>
        <v>0</v>
      </c>
      <c r="J68" s="14"/>
      <c r="K68" s="14"/>
      <c r="L68" s="14"/>
      <c r="M68" s="14"/>
      <c r="N68" s="14"/>
      <c r="O68" s="14"/>
      <c r="P68" s="14"/>
      <c r="Q68" s="14"/>
    </row>
    <row r="69" spans="2:17" x14ac:dyDescent="0.25">
      <c r="B69" s="14" t="s">
        <v>42</v>
      </c>
      <c r="C69" s="15" t="s">
        <v>177</v>
      </c>
      <c r="D69" s="255">
        <f>'App9. Data for tables'!$E$67</f>
        <v>0</v>
      </c>
      <c r="E69" s="39">
        <f>'App9. Data for tables'!$E$7</f>
        <v>0</v>
      </c>
      <c r="F69" s="254">
        <f>D69*E69</f>
        <v>0</v>
      </c>
      <c r="G69" s="256">
        <f>'App9. Data for tables'!$E$78</f>
        <v>10</v>
      </c>
      <c r="H69" s="254">
        <f t="shared" si="2"/>
        <v>0</v>
      </c>
      <c r="J69" s="14"/>
      <c r="K69" s="14"/>
      <c r="L69" s="14"/>
      <c r="M69" s="14"/>
      <c r="N69" s="14"/>
      <c r="O69" s="14"/>
      <c r="P69" s="14"/>
      <c r="Q69" s="14"/>
    </row>
    <row r="70" spans="2:17" ht="36" customHeight="1" x14ac:dyDescent="0.25">
      <c r="B70" s="14" t="s">
        <v>43</v>
      </c>
      <c r="C70" s="15" t="s">
        <v>472</v>
      </c>
      <c r="D70" s="194"/>
      <c r="E70" s="194"/>
      <c r="F70" s="248">
        <f>'App9. Data for tables'!$F$21</f>
        <v>10000</v>
      </c>
      <c r="G70" s="212">
        <f>'App9. Data for tables'!$F$78</f>
        <v>10</v>
      </c>
      <c r="H70" s="194">
        <f t="shared" si="2"/>
        <v>100000</v>
      </c>
      <c r="J70" s="14"/>
      <c r="K70" s="14"/>
      <c r="L70" s="14"/>
      <c r="M70" s="14"/>
      <c r="N70" s="14"/>
      <c r="O70" s="14"/>
      <c r="P70" s="14"/>
      <c r="Q70" s="14"/>
    </row>
    <row r="71" spans="2:17" x14ac:dyDescent="0.25">
      <c r="B71" s="14" t="s">
        <v>43</v>
      </c>
      <c r="C71" s="15" t="s">
        <v>473</v>
      </c>
      <c r="D71" s="254"/>
      <c r="E71" s="254"/>
      <c r="F71" s="255">
        <f>'App9. Data for tables'!$F$22</f>
        <v>150</v>
      </c>
      <c r="G71" s="256">
        <f>'App9. Data for tables'!$F$78</f>
        <v>10</v>
      </c>
      <c r="H71" s="254">
        <f t="shared" si="2"/>
        <v>1500</v>
      </c>
      <c r="J71" s="14"/>
      <c r="K71" s="14"/>
      <c r="L71" s="14"/>
      <c r="M71" s="14"/>
      <c r="N71" s="14"/>
      <c r="O71" s="14"/>
      <c r="P71" s="14"/>
      <c r="Q71" s="14"/>
    </row>
    <row r="72" spans="2:17" ht="16.8" x14ac:dyDescent="0.25">
      <c r="B72" s="14" t="s">
        <v>43</v>
      </c>
      <c r="C72" s="15" t="s">
        <v>164</v>
      </c>
      <c r="D72" s="255"/>
      <c r="E72" s="256"/>
      <c r="F72" s="254">
        <f>('App9. Data for tables'!$F$28*'App9. Data for tables'!$F$29)+('App9. Data for tables'!$F$30*'App9. Data for tables'!$F$31)</f>
        <v>593.75</v>
      </c>
      <c r="G72" s="256">
        <f>'App9. Data for tables'!$F$78</f>
        <v>10</v>
      </c>
      <c r="H72" s="254">
        <f t="shared" si="2"/>
        <v>5937.5</v>
      </c>
      <c r="J72" s="14"/>
      <c r="K72" s="14"/>
      <c r="L72" s="14"/>
      <c r="M72" s="14"/>
      <c r="N72" s="14"/>
      <c r="O72" s="14"/>
      <c r="P72" s="14"/>
      <c r="Q72" s="14"/>
    </row>
    <row r="73" spans="2:17" ht="16.8" x14ac:dyDescent="0.25">
      <c r="B73" s="14" t="s">
        <v>43</v>
      </c>
      <c r="C73" s="15" t="s">
        <v>165</v>
      </c>
      <c r="D73" s="255"/>
      <c r="E73" s="256"/>
      <c r="F73" s="254">
        <f>('App9. Data for tables'!$F$32*'App9. Data for tables'!$F$33)+('App9. Data for tables'!$F$34*'App9. Data for tables'!$F$35)</f>
        <v>0</v>
      </c>
      <c r="G73" s="256">
        <f>'App9. Data for tables'!$F$78</f>
        <v>10</v>
      </c>
      <c r="H73" s="254">
        <f t="shared" si="2"/>
        <v>0</v>
      </c>
      <c r="J73" s="14"/>
      <c r="K73" s="14"/>
      <c r="L73" s="14"/>
      <c r="M73" s="14"/>
      <c r="N73" s="14"/>
      <c r="O73" s="14"/>
      <c r="P73" s="14"/>
      <c r="Q73" s="14"/>
    </row>
    <row r="74" spans="2:17" ht="16.8" x14ac:dyDescent="0.25">
      <c r="B74" s="14" t="s">
        <v>43</v>
      </c>
      <c r="C74" s="15" t="s">
        <v>166</v>
      </c>
      <c r="D74" s="254"/>
      <c r="E74" s="254"/>
      <c r="F74" s="255">
        <f>'App9. Data for tables'!$F$36+('App9. Data for tables'!$F$37*'App9. Data for tables'!$F$38)</f>
        <v>1787.32</v>
      </c>
      <c r="G74" s="256">
        <f>'App9. Data for tables'!$F$78</f>
        <v>10</v>
      </c>
      <c r="H74" s="254">
        <f t="shared" si="2"/>
        <v>17873.2</v>
      </c>
      <c r="I74" s="54"/>
      <c r="J74" s="14"/>
      <c r="K74" s="14"/>
      <c r="L74" s="14"/>
      <c r="M74" s="14"/>
      <c r="N74" s="14"/>
      <c r="O74" s="14"/>
      <c r="P74" s="14"/>
      <c r="Q74" s="14"/>
    </row>
    <row r="75" spans="2:17" ht="16.8" x14ac:dyDescent="0.25">
      <c r="B75" s="14" t="s">
        <v>43</v>
      </c>
      <c r="C75" s="15" t="s">
        <v>467</v>
      </c>
      <c r="D75" s="254"/>
      <c r="E75" s="254"/>
      <c r="F75" s="255">
        <f>'App9. Data for tables'!$F$39</f>
        <v>220</v>
      </c>
      <c r="G75" s="256">
        <f>'App9. Data for tables'!$F$78</f>
        <v>10</v>
      </c>
      <c r="H75" s="254">
        <f t="shared" si="2"/>
        <v>2200</v>
      </c>
      <c r="I75" s="33"/>
      <c r="J75" s="14"/>
      <c r="K75" s="167"/>
      <c r="L75" s="14"/>
      <c r="M75" s="14"/>
      <c r="N75" s="167"/>
      <c r="O75" s="14"/>
      <c r="P75" s="14"/>
      <c r="Q75" s="167"/>
    </row>
    <row r="76" spans="2:17" ht="16.8" x14ac:dyDescent="0.25">
      <c r="B76" s="14" t="s">
        <v>43</v>
      </c>
      <c r="C76" s="15" t="s">
        <v>468</v>
      </c>
      <c r="D76" s="254"/>
      <c r="E76" s="254"/>
      <c r="F76" s="255">
        <f>('App9. Data for tables'!$F$40*'App9. Data for tables'!$F$41)</f>
        <v>24.75</v>
      </c>
      <c r="G76" s="256">
        <f>'App9. Data for tables'!$F$78</f>
        <v>10</v>
      </c>
      <c r="H76" s="254">
        <f t="shared" si="2"/>
        <v>247.5</v>
      </c>
      <c r="I76" s="33"/>
      <c r="J76" s="14"/>
      <c r="K76" s="167"/>
      <c r="L76" s="14"/>
      <c r="M76" s="14"/>
      <c r="N76" s="167"/>
      <c r="O76" s="14"/>
      <c r="P76" s="14"/>
      <c r="Q76" s="167"/>
    </row>
    <row r="77" spans="2:17" x14ac:dyDescent="0.25">
      <c r="B77" s="14" t="s">
        <v>43</v>
      </c>
      <c r="C77" s="15" t="s">
        <v>167</v>
      </c>
      <c r="D77" s="255"/>
      <c r="E77" s="39"/>
      <c r="F77" s="254">
        <f>'App9. Data for tables'!$F$42</f>
        <v>170</v>
      </c>
      <c r="G77" s="256">
        <f>'App9. Data for tables'!$F$78</f>
        <v>10</v>
      </c>
      <c r="H77" s="254">
        <f t="shared" si="2"/>
        <v>1700</v>
      </c>
      <c r="I77" s="54"/>
      <c r="J77" s="14"/>
      <c r="K77" s="14"/>
      <c r="L77" s="14"/>
      <c r="M77" s="14"/>
      <c r="N77" s="14"/>
      <c r="O77" s="14"/>
      <c r="P77" s="14"/>
      <c r="Q77" s="14"/>
    </row>
    <row r="78" spans="2:17" x14ac:dyDescent="0.25">
      <c r="B78" s="14" t="s">
        <v>43</v>
      </c>
      <c r="C78" s="15" t="s">
        <v>168</v>
      </c>
      <c r="D78" s="254"/>
      <c r="E78" s="254"/>
      <c r="F78" s="255">
        <f>'App9. Data for tables'!$F$43</f>
        <v>195</v>
      </c>
      <c r="G78" s="256">
        <f>'App9. Data for tables'!$F$78</f>
        <v>10</v>
      </c>
      <c r="H78" s="254">
        <f t="shared" si="2"/>
        <v>1950</v>
      </c>
      <c r="J78" s="14"/>
      <c r="K78" s="14"/>
      <c r="L78" s="14"/>
      <c r="M78" s="14"/>
      <c r="N78" s="14"/>
      <c r="O78" s="14"/>
      <c r="P78" s="14"/>
      <c r="Q78" s="14"/>
    </row>
    <row r="79" spans="2:17" ht="16.8" x14ac:dyDescent="0.25">
      <c r="B79" s="14" t="s">
        <v>43</v>
      </c>
      <c r="C79" s="15" t="s">
        <v>169</v>
      </c>
      <c r="D79" s="254"/>
      <c r="E79" s="254"/>
      <c r="F79" s="255">
        <f>('App9. Data for tables'!$F$44*'App9. Data for tables'!$F$45)</f>
        <v>361.27</v>
      </c>
      <c r="G79" s="256">
        <f>'App9. Data for tables'!$F$78</f>
        <v>10</v>
      </c>
      <c r="H79" s="254">
        <f t="shared" si="2"/>
        <v>3612.7</v>
      </c>
      <c r="J79" s="14"/>
      <c r="K79" s="14"/>
      <c r="L79" s="14"/>
      <c r="M79" s="14"/>
      <c r="N79" s="14"/>
      <c r="O79" s="14"/>
      <c r="P79" s="14"/>
      <c r="Q79" s="14"/>
    </row>
    <row r="80" spans="2:17" x14ac:dyDescent="0.25">
      <c r="B80" s="14" t="s">
        <v>43</v>
      </c>
      <c r="C80" s="15" t="s">
        <v>50</v>
      </c>
      <c r="D80" s="255"/>
      <c r="E80" s="39"/>
      <c r="F80" s="254">
        <f>'App9. Data for tables'!$F$46*'App9. Data for tables'!$F$47</f>
        <v>65</v>
      </c>
      <c r="G80" s="256">
        <f>'App9. Data for tables'!$F$78</f>
        <v>10</v>
      </c>
      <c r="H80" s="254">
        <f t="shared" si="2"/>
        <v>650</v>
      </c>
    </row>
    <row r="81" spans="2:17" ht="16.8" x14ac:dyDescent="0.25">
      <c r="B81" s="14" t="s">
        <v>43</v>
      </c>
      <c r="C81" s="15" t="s">
        <v>49</v>
      </c>
      <c r="D81" s="254"/>
      <c r="E81" s="254"/>
      <c r="F81" s="255">
        <f>('App9. Data for tables'!$F$51*'App9. Data for tables'!$F$52)</f>
        <v>9.9</v>
      </c>
      <c r="G81" s="256">
        <f>'App9. Data for tables'!$F$78</f>
        <v>10</v>
      </c>
      <c r="H81" s="254">
        <f t="shared" si="2"/>
        <v>99</v>
      </c>
    </row>
    <row r="82" spans="2:17" ht="16.8" x14ac:dyDescent="0.25">
      <c r="B82" s="14" t="s">
        <v>43</v>
      </c>
      <c r="C82" s="15" t="s">
        <v>171</v>
      </c>
      <c r="D82" s="254"/>
      <c r="E82" s="254"/>
      <c r="F82" s="255">
        <f>SUM('App9. Data for tables'!$F$53:$F$57)</f>
        <v>425</v>
      </c>
      <c r="G82" s="256">
        <f>'App9. Data for tables'!$F$78</f>
        <v>10</v>
      </c>
      <c r="H82" s="254">
        <f t="shared" si="2"/>
        <v>4250</v>
      </c>
    </row>
    <row r="83" spans="2:17" ht="16.8" x14ac:dyDescent="0.25">
      <c r="B83" s="14" t="s">
        <v>43</v>
      </c>
      <c r="C83" s="15" t="s">
        <v>172</v>
      </c>
      <c r="D83" s="254"/>
      <c r="E83" s="254"/>
      <c r="F83" s="255">
        <f>'App9. Data for tables'!$F$58</f>
        <v>270</v>
      </c>
      <c r="G83" s="256">
        <f>'App9. Data for tables'!$F$78</f>
        <v>10</v>
      </c>
      <c r="H83" s="254">
        <f t="shared" si="2"/>
        <v>2700</v>
      </c>
    </row>
    <row r="84" spans="2:17" ht="16.8" x14ac:dyDescent="0.25">
      <c r="B84" s="14" t="s">
        <v>43</v>
      </c>
      <c r="C84" s="15" t="s">
        <v>173</v>
      </c>
      <c r="D84" s="255"/>
      <c r="E84" s="39"/>
      <c r="F84" s="254">
        <f>'App9. Data for tables'!$F$68</f>
        <v>300</v>
      </c>
      <c r="G84" s="256">
        <f>'App9. Data for tables'!$F$78</f>
        <v>10</v>
      </c>
      <c r="H84" s="254">
        <f t="shared" si="2"/>
        <v>3000</v>
      </c>
      <c r="I84" s="54"/>
    </row>
    <row r="85" spans="2:17" x14ac:dyDescent="0.25">
      <c r="B85" s="14" t="s">
        <v>43</v>
      </c>
      <c r="C85" s="15" t="s">
        <v>58</v>
      </c>
      <c r="D85" s="254"/>
      <c r="E85" s="256"/>
      <c r="F85" s="255">
        <f>'App9. Data for tables'!$F$69</f>
        <v>190</v>
      </c>
      <c r="G85" s="256">
        <f>'App9. Data for tables'!$F$78</f>
        <v>10</v>
      </c>
      <c r="H85" s="254">
        <f t="shared" si="2"/>
        <v>1900</v>
      </c>
    </row>
    <row r="86" spans="2:17" x14ac:dyDescent="0.25">
      <c r="B86" s="14" t="s">
        <v>43</v>
      </c>
      <c r="C86" s="15" t="s">
        <v>59</v>
      </c>
      <c r="D86" s="254"/>
      <c r="E86" s="254"/>
      <c r="F86" s="255">
        <f>'App9. Data for tables'!$F$70</f>
        <v>200</v>
      </c>
      <c r="G86" s="256">
        <f>'App9. Data for tables'!$F$78</f>
        <v>10</v>
      </c>
      <c r="H86" s="254">
        <f t="shared" si="2"/>
        <v>2000</v>
      </c>
    </row>
    <row r="87" spans="2:17" x14ac:dyDescent="0.25">
      <c r="B87" s="14" t="s">
        <v>43</v>
      </c>
      <c r="C87" s="15" t="s">
        <v>174</v>
      </c>
      <c r="D87" s="254"/>
      <c r="E87" s="254"/>
      <c r="F87" s="255">
        <f>'App9. Data for tables'!$F$71</f>
        <v>600</v>
      </c>
      <c r="G87" s="256">
        <f>'App9. Data for tables'!$F$78</f>
        <v>10</v>
      </c>
      <c r="H87" s="254">
        <f t="shared" si="2"/>
        <v>6000</v>
      </c>
    </row>
    <row r="88" spans="2:17" ht="16.8" x14ac:dyDescent="0.25">
      <c r="B88" s="14" t="s">
        <v>43</v>
      </c>
      <c r="C88" s="15" t="s">
        <v>175</v>
      </c>
      <c r="D88" s="254"/>
      <c r="E88" s="254"/>
      <c r="F88" s="255">
        <f>'App9. Data for tables'!$F$72</f>
        <v>750</v>
      </c>
      <c r="G88" s="256">
        <f>'App9. Data for tables'!$F$78</f>
        <v>10</v>
      </c>
      <c r="H88" s="254">
        <f t="shared" si="2"/>
        <v>7500</v>
      </c>
    </row>
    <row r="89" spans="2:17" x14ac:dyDescent="0.25">
      <c r="B89" s="14" t="s">
        <v>43</v>
      </c>
      <c r="C89" s="15" t="s">
        <v>469</v>
      </c>
      <c r="D89" s="255">
        <f>'App9. Data for tables'!$F$59</f>
        <v>43</v>
      </c>
      <c r="E89" s="39">
        <f>'App9. Data for tables'!$F$7</f>
        <v>48</v>
      </c>
      <c r="F89" s="254">
        <f>D89*E89</f>
        <v>2064</v>
      </c>
      <c r="G89" s="256">
        <f>'App9. Data for tables'!$F$78</f>
        <v>10</v>
      </c>
      <c r="H89" s="254">
        <f t="shared" si="2"/>
        <v>20640</v>
      </c>
    </row>
    <row r="90" spans="2:17" x14ac:dyDescent="0.25">
      <c r="B90" s="14" t="s">
        <v>43</v>
      </c>
      <c r="C90" s="15" t="s">
        <v>470</v>
      </c>
      <c r="D90" s="255">
        <f>'App9. Data for tables'!$F$60</f>
        <v>11</v>
      </c>
      <c r="E90" s="39">
        <f>'App9. Data for tables'!$F$7</f>
        <v>48</v>
      </c>
      <c r="F90" s="254">
        <f>D90*E90</f>
        <v>528</v>
      </c>
      <c r="G90" s="256">
        <f>'App9. Data for tables'!$F$78</f>
        <v>10</v>
      </c>
      <c r="H90" s="254">
        <f t="shared" si="2"/>
        <v>5280</v>
      </c>
    </row>
    <row r="91" spans="2:17" x14ac:dyDescent="0.25">
      <c r="B91" s="14" t="s">
        <v>43</v>
      </c>
      <c r="C91" s="15" t="s">
        <v>471</v>
      </c>
      <c r="D91" s="255">
        <f>'App9. Data for tables'!$F$61</f>
        <v>11</v>
      </c>
      <c r="E91" s="39">
        <f>'App9. Data for tables'!$F$7</f>
        <v>48</v>
      </c>
      <c r="F91" s="254">
        <f>D91*E91</f>
        <v>528</v>
      </c>
      <c r="G91" s="256">
        <f>'App9. Data for tables'!$F$78</f>
        <v>10</v>
      </c>
      <c r="H91" s="254">
        <f t="shared" si="2"/>
        <v>5280</v>
      </c>
    </row>
    <row r="92" spans="2:17" x14ac:dyDescent="0.25">
      <c r="B92" s="14" t="s">
        <v>43</v>
      </c>
      <c r="C92" s="15" t="s">
        <v>177</v>
      </c>
      <c r="D92" s="255">
        <f>'App9. Data for tables'!$F$67</f>
        <v>276.5</v>
      </c>
      <c r="E92" s="39">
        <f>'App9. Data for tables'!$F$7</f>
        <v>48</v>
      </c>
      <c r="F92" s="254">
        <f>D92*E92</f>
        <v>13272</v>
      </c>
      <c r="G92" s="256">
        <f>'App9. Data for tables'!$F$78</f>
        <v>10</v>
      </c>
      <c r="H92" s="254">
        <f t="shared" si="2"/>
        <v>132720</v>
      </c>
    </row>
    <row r="93" spans="2:17" ht="36" customHeight="1" x14ac:dyDescent="0.25">
      <c r="B93" s="14" t="s">
        <v>44</v>
      </c>
      <c r="C93" s="15" t="s">
        <v>473</v>
      </c>
      <c r="D93" s="194"/>
      <c r="E93" s="194"/>
      <c r="F93" s="248">
        <f>'App9. Data for tables'!$G$22</f>
        <v>150</v>
      </c>
      <c r="G93" s="212">
        <f>'App9. Data for tables'!$G$78</f>
        <v>10</v>
      </c>
      <c r="H93" s="194">
        <f t="shared" si="2"/>
        <v>1500</v>
      </c>
      <c r="J93" s="14"/>
      <c r="K93" s="14"/>
      <c r="L93" s="14"/>
      <c r="M93" s="14"/>
      <c r="N93" s="14"/>
      <c r="O93" s="14"/>
      <c r="P93" s="14"/>
      <c r="Q93" s="14"/>
    </row>
    <row r="94" spans="2:17" ht="16.8" x14ac:dyDescent="0.25">
      <c r="B94" s="14" t="s">
        <v>44</v>
      </c>
      <c r="C94" s="15" t="s">
        <v>164</v>
      </c>
      <c r="D94" s="255"/>
      <c r="E94" s="256"/>
      <c r="F94" s="254">
        <f>('App9. Data for tables'!$G$28*'App9. Data for tables'!$G$29)+('App9. Data for tables'!$G$30*'App9. Data for tables'!$G$31)</f>
        <v>878.75</v>
      </c>
      <c r="G94" s="256">
        <f>'App9. Data for tables'!$G$78</f>
        <v>10</v>
      </c>
      <c r="H94" s="254">
        <f t="shared" si="2"/>
        <v>8787.5</v>
      </c>
      <c r="J94" s="14"/>
      <c r="K94" s="14"/>
      <c r="L94" s="14"/>
      <c r="M94" s="14"/>
      <c r="N94" s="14"/>
      <c r="O94" s="14"/>
      <c r="P94" s="14"/>
      <c r="Q94" s="14"/>
    </row>
    <row r="95" spans="2:17" ht="16.8" x14ac:dyDescent="0.25">
      <c r="B95" s="14" t="s">
        <v>44</v>
      </c>
      <c r="C95" s="15" t="s">
        <v>165</v>
      </c>
      <c r="D95" s="255"/>
      <c r="E95" s="256"/>
      <c r="F95" s="254">
        <f>('App9. Data for tables'!$G$32*'App9. Data for tables'!$G$33)+('App9. Data for tables'!$G$34*'App9. Data for tables'!$G$35)</f>
        <v>0</v>
      </c>
      <c r="G95" s="256">
        <f>'App9. Data for tables'!$G$78</f>
        <v>10</v>
      </c>
      <c r="H95" s="254">
        <f t="shared" si="2"/>
        <v>0</v>
      </c>
      <c r="J95" s="14"/>
      <c r="K95" s="14"/>
      <c r="L95" s="14"/>
      <c r="M95" s="14"/>
      <c r="N95" s="14"/>
      <c r="O95" s="14"/>
      <c r="P95" s="14"/>
      <c r="Q95" s="14"/>
    </row>
    <row r="96" spans="2:17" ht="16.8" x14ac:dyDescent="0.25">
      <c r="B96" s="14" t="s">
        <v>44</v>
      </c>
      <c r="C96" s="15" t="s">
        <v>166</v>
      </c>
      <c r="D96" s="254"/>
      <c r="E96" s="254"/>
      <c r="F96" s="255">
        <f>'App9. Data for tables'!$G$36+('App9. Data for tables'!$G$37*'App9. Data for tables'!$G$38)</f>
        <v>1787.32</v>
      </c>
      <c r="G96" s="256">
        <f>'App9. Data for tables'!$G$78</f>
        <v>10</v>
      </c>
      <c r="H96" s="254">
        <f t="shared" si="2"/>
        <v>17873.2</v>
      </c>
      <c r="J96" s="14"/>
      <c r="K96" s="14"/>
      <c r="L96" s="14"/>
      <c r="M96" s="14"/>
      <c r="N96" s="14"/>
      <c r="O96" s="14"/>
      <c r="P96" s="14"/>
      <c r="Q96" s="14"/>
    </row>
    <row r="97" spans="2:17" ht="16.8" x14ac:dyDescent="0.25">
      <c r="B97" s="14" t="s">
        <v>44</v>
      </c>
      <c r="C97" s="15" t="s">
        <v>467</v>
      </c>
      <c r="D97" s="254"/>
      <c r="E97" s="254"/>
      <c r="F97" s="255">
        <f>'App9. Data for tables'!$G$39</f>
        <v>295</v>
      </c>
      <c r="G97" s="256">
        <f>'App9. Data for tables'!$G$78</f>
        <v>10</v>
      </c>
      <c r="H97" s="254">
        <f t="shared" si="2"/>
        <v>2950</v>
      </c>
      <c r="I97" s="33"/>
      <c r="J97" s="14"/>
      <c r="K97" s="167"/>
      <c r="L97" s="14"/>
      <c r="M97" s="14"/>
      <c r="N97" s="167"/>
      <c r="O97" s="14"/>
      <c r="P97" s="14"/>
      <c r="Q97" s="167"/>
    </row>
    <row r="98" spans="2:17" ht="16.8" x14ac:dyDescent="0.25">
      <c r="B98" s="14" t="s">
        <v>44</v>
      </c>
      <c r="C98" s="15" t="s">
        <v>468</v>
      </c>
      <c r="D98" s="254"/>
      <c r="E98" s="254"/>
      <c r="F98" s="255">
        <f>('App9. Data for tables'!$G$40*'App9. Data for tables'!$G$41)</f>
        <v>24.75</v>
      </c>
      <c r="G98" s="256">
        <f>'App9. Data for tables'!$G$78</f>
        <v>10</v>
      </c>
      <c r="H98" s="254">
        <f t="shared" si="2"/>
        <v>247.5</v>
      </c>
      <c r="I98" s="33"/>
      <c r="J98" s="14"/>
      <c r="K98" s="167"/>
      <c r="L98" s="14"/>
      <c r="M98" s="14"/>
      <c r="N98" s="167"/>
      <c r="O98" s="14"/>
      <c r="P98" s="14"/>
      <c r="Q98" s="167"/>
    </row>
    <row r="99" spans="2:17" x14ac:dyDescent="0.25">
      <c r="B99" s="14" t="s">
        <v>44</v>
      </c>
      <c r="C99" s="15" t="s">
        <v>167</v>
      </c>
      <c r="D99" s="255"/>
      <c r="E99" s="39"/>
      <c r="F99" s="254">
        <f>'App9. Data for tables'!$G$42</f>
        <v>170</v>
      </c>
      <c r="G99" s="256">
        <f>'App9. Data for tables'!$G$78</f>
        <v>10</v>
      </c>
      <c r="H99" s="254">
        <f t="shared" si="2"/>
        <v>1700</v>
      </c>
      <c r="J99" s="14"/>
      <c r="K99" s="14"/>
      <c r="L99" s="14"/>
      <c r="M99" s="14"/>
      <c r="N99" s="14"/>
      <c r="O99" s="14"/>
      <c r="P99" s="14"/>
      <c r="Q99" s="14"/>
    </row>
    <row r="100" spans="2:17" x14ac:dyDescent="0.25">
      <c r="B100" s="14" t="s">
        <v>44</v>
      </c>
      <c r="C100" s="15" t="s">
        <v>168</v>
      </c>
      <c r="D100" s="254"/>
      <c r="E100" s="254"/>
      <c r="F100" s="255">
        <f>'App9. Data for tables'!$G$43</f>
        <v>195</v>
      </c>
      <c r="G100" s="256">
        <f>'App9. Data for tables'!$G$78</f>
        <v>10</v>
      </c>
      <c r="H100" s="254">
        <f t="shared" ref="H100:H131" si="3">F100*G100</f>
        <v>1950</v>
      </c>
      <c r="J100" s="14"/>
      <c r="K100" s="14"/>
      <c r="L100" s="14"/>
      <c r="M100" s="14"/>
      <c r="N100" s="14"/>
      <c r="O100" s="14"/>
      <c r="P100" s="14"/>
      <c r="Q100" s="14"/>
    </row>
    <row r="101" spans="2:17" ht="16.8" x14ac:dyDescent="0.25">
      <c r="B101" s="14" t="s">
        <v>44</v>
      </c>
      <c r="C101" s="15" t="s">
        <v>176</v>
      </c>
      <c r="D101" s="254"/>
      <c r="E101" s="254"/>
      <c r="F101" s="255">
        <f>('App9. Data for tables'!$G$44*'App9. Data for tables'!$G$45)</f>
        <v>361.27</v>
      </c>
      <c r="G101" s="256">
        <f>'App9. Data for tables'!$G$78</f>
        <v>10</v>
      </c>
      <c r="H101" s="254">
        <f t="shared" si="3"/>
        <v>3612.7</v>
      </c>
      <c r="J101" s="14"/>
      <c r="K101" s="14"/>
      <c r="L101" s="14"/>
      <c r="M101" s="14"/>
      <c r="N101" s="14"/>
      <c r="O101" s="14"/>
      <c r="P101" s="14"/>
      <c r="Q101" s="14"/>
    </row>
    <row r="102" spans="2:17" x14ac:dyDescent="0.25">
      <c r="B102" s="14" t="s">
        <v>44</v>
      </c>
      <c r="C102" s="15" t="s">
        <v>50</v>
      </c>
      <c r="D102" s="255"/>
      <c r="E102" s="39"/>
      <c r="F102" s="254">
        <f>'App9. Data for tables'!$G$46*'App9. Data for tables'!$G$47</f>
        <v>65</v>
      </c>
      <c r="G102" s="256">
        <f>'App9. Data for tables'!$G$78</f>
        <v>10</v>
      </c>
      <c r="H102" s="254">
        <f t="shared" si="3"/>
        <v>650</v>
      </c>
      <c r="J102" s="14"/>
      <c r="K102" s="14"/>
      <c r="L102" s="14"/>
      <c r="M102" s="14"/>
      <c r="N102" s="14"/>
      <c r="O102" s="14"/>
      <c r="P102" s="14"/>
      <c r="Q102" s="14"/>
    </row>
    <row r="103" spans="2:17" ht="16.8" x14ac:dyDescent="0.25">
      <c r="B103" s="14" t="s">
        <v>44</v>
      </c>
      <c r="C103" s="15" t="s">
        <v>49</v>
      </c>
      <c r="D103" s="254"/>
      <c r="E103" s="254"/>
      <c r="F103" s="255">
        <f>('App9. Data for tables'!$G$51*'App9. Data for tables'!$G$52)</f>
        <v>9.9</v>
      </c>
      <c r="G103" s="256">
        <f>'App9. Data for tables'!$G$78</f>
        <v>10</v>
      </c>
      <c r="H103" s="254">
        <f t="shared" si="3"/>
        <v>99</v>
      </c>
      <c r="J103" s="14"/>
      <c r="K103" s="14"/>
      <c r="L103" s="14"/>
      <c r="M103" s="14"/>
      <c r="N103" s="14"/>
      <c r="O103" s="14"/>
      <c r="P103" s="14"/>
      <c r="Q103" s="14"/>
    </row>
    <row r="104" spans="2:17" ht="16.8" x14ac:dyDescent="0.25">
      <c r="B104" s="14" t="s">
        <v>44</v>
      </c>
      <c r="C104" s="15" t="s">
        <v>171</v>
      </c>
      <c r="D104" s="254"/>
      <c r="E104" s="254"/>
      <c r="F104" s="255">
        <f>SUM('App9. Data for tables'!$G$53:$G$57)</f>
        <v>425</v>
      </c>
      <c r="G104" s="256">
        <f>'App9. Data for tables'!$G$78</f>
        <v>10</v>
      </c>
      <c r="H104" s="254">
        <f t="shared" si="3"/>
        <v>4250</v>
      </c>
      <c r="J104" s="14"/>
      <c r="K104" s="14"/>
      <c r="L104" s="14"/>
      <c r="M104" s="14"/>
      <c r="N104" s="14"/>
      <c r="O104" s="14"/>
      <c r="P104" s="14"/>
      <c r="Q104" s="14"/>
    </row>
    <row r="105" spans="2:17" ht="16.8" x14ac:dyDescent="0.25">
      <c r="B105" s="14" t="s">
        <v>44</v>
      </c>
      <c r="C105" s="15" t="s">
        <v>172</v>
      </c>
      <c r="D105" s="254"/>
      <c r="E105" s="254"/>
      <c r="F105" s="255">
        <f>'App9. Data for tables'!$G$58</f>
        <v>270</v>
      </c>
      <c r="G105" s="256">
        <f>'App9. Data for tables'!$G$78</f>
        <v>10</v>
      </c>
      <c r="H105" s="254">
        <f t="shared" si="3"/>
        <v>2700</v>
      </c>
      <c r="J105" s="14"/>
      <c r="K105" s="14"/>
      <c r="L105" s="14"/>
      <c r="M105" s="14"/>
      <c r="N105" s="14"/>
      <c r="O105" s="14"/>
      <c r="P105" s="14"/>
      <c r="Q105" s="14"/>
    </row>
    <row r="106" spans="2:17" ht="16.8" x14ac:dyDescent="0.25">
      <c r="B106" s="14" t="s">
        <v>44</v>
      </c>
      <c r="C106" s="15" t="s">
        <v>173</v>
      </c>
      <c r="D106" s="255"/>
      <c r="E106" s="39"/>
      <c r="F106" s="254">
        <f>'App9. Data for tables'!$G$68</f>
        <v>300</v>
      </c>
      <c r="G106" s="256">
        <f>'App9. Data for tables'!$G$78</f>
        <v>10</v>
      </c>
      <c r="H106" s="254">
        <f t="shared" si="3"/>
        <v>3000</v>
      </c>
      <c r="J106" s="14"/>
      <c r="K106" s="14"/>
      <c r="L106" s="14"/>
      <c r="M106" s="14"/>
      <c r="N106" s="14"/>
      <c r="O106" s="14"/>
      <c r="P106" s="14"/>
      <c r="Q106" s="14"/>
    </row>
    <row r="107" spans="2:17" x14ac:dyDescent="0.25">
      <c r="B107" s="14" t="s">
        <v>44</v>
      </c>
      <c r="C107" s="15" t="s">
        <v>58</v>
      </c>
      <c r="D107" s="254"/>
      <c r="E107" s="256"/>
      <c r="F107" s="255">
        <f>'App9. Data for tables'!$G$69</f>
        <v>190</v>
      </c>
      <c r="G107" s="256">
        <f>'App9. Data for tables'!$G$78</f>
        <v>10</v>
      </c>
      <c r="H107" s="254">
        <f t="shared" si="3"/>
        <v>1900</v>
      </c>
      <c r="J107" s="14"/>
      <c r="K107" s="14"/>
      <c r="L107" s="14"/>
      <c r="M107" s="14"/>
      <c r="N107" s="14"/>
      <c r="O107" s="14"/>
      <c r="P107" s="14"/>
      <c r="Q107" s="14"/>
    </row>
    <row r="108" spans="2:17" x14ac:dyDescent="0.25">
      <c r="B108" s="14" t="s">
        <v>44</v>
      </c>
      <c r="C108" s="15" t="s">
        <v>59</v>
      </c>
      <c r="D108" s="254"/>
      <c r="E108" s="254"/>
      <c r="F108" s="255">
        <f>'App9. Data for tables'!$G$70</f>
        <v>200</v>
      </c>
      <c r="G108" s="256">
        <f>'App9. Data for tables'!$G$78</f>
        <v>10</v>
      </c>
      <c r="H108" s="254">
        <f t="shared" si="3"/>
        <v>2000</v>
      </c>
    </row>
    <row r="109" spans="2:17" x14ac:dyDescent="0.25">
      <c r="B109" s="14" t="s">
        <v>44</v>
      </c>
      <c r="C109" s="15" t="s">
        <v>174</v>
      </c>
      <c r="D109" s="254"/>
      <c r="E109" s="254"/>
      <c r="F109" s="255">
        <f>'App9. Data for tables'!$G$71</f>
        <v>600</v>
      </c>
      <c r="G109" s="256">
        <f>'App9. Data for tables'!$G$78</f>
        <v>10</v>
      </c>
      <c r="H109" s="254">
        <f t="shared" si="3"/>
        <v>6000</v>
      </c>
    </row>
    <row r="110" spans="2:17" ht="16.8" x14ac:dyDescent="0.25">
      <c r="B110" s="14" t="s">
        <v>44</v>
      </c>
      <c r="C110" s="15" t="s">
        <v>175</v>
      </c>
      <c r="D110" s="254"/>
      <c r="E110" s="254"/>
      <c r="F110" s="255">
        <f>'App9. Data for tables'!$G$72</f>
        <v>750</v>
      </c>
      <c r="G110" s="256">
        <f>'App9. Data for tables'!$G$78</f>
        <v>10</v>
      </c>
      <c r="H110" s="254">
        <f t="shared" si="3"/>
        <v>7500</v>
      </c>
    </row>
    <row r="111" spans="2:17" x14ac:dyDescent="0.25">
      <c r="B111" s="14" t="s">
        <v>44</v>
      </c>
      <c r="C111" s="15" t="s">
        <v>469</v>
      </c>
      <c r="D111" s="255">
        <f>'App9. Data for tables'!$G$59</f>
        <v>43</v>
      </c>
      <c r="E111" s="256">
        <f>'App9. Data for tables'!$G$7</f>
        <v>63</v>
      </c>
      <c r="F111" s="254">
        <f>D111*E111</f>
        <v>2709</v>
      </c>
      <c r="G111" s="256">
        <f>'App9. Data for tables'!$G$78</f>
        <v>10</v>
      </c>
      <c r="H111" s="254">
        <f t="shared" si="3"/>
        <v>27090</v>
      </c>
    </row>
    <row r="112" spans="2:17" x14ac:dyDescent="0.25">
      <c r="B112" s="14" t="s">
        <v>44</v>
      </c>
      <c r="C112" s="15" t="s">
        <v>470</v>
      </c>
      <c r="D112" s="255">
        <f>'App9. Data for tables'!$G$60</f>
        <v>11</v>
      </c>
      <c r="E112" s="256">
        <f>'App9. Data for tables'!$G$7</f>
        <v>63</v>
      </c>
      <c r="F112" s="254">
        <f>D112*E112</f>
        <v>693</v>
      </c>
      <c r="G112" s="256">
        <f>'App9. Data for tables'!$G$78</f>
        <v>10</v>
      </c>
      <c r="H112" s="254">
        <f t="shared" si="3"/>
        <v>6930</v>
      </c>
    </row>
    <row r="113" spans="2:8" x14ac:dyDescent="0.25">
      <c r="B113" s="14" t="s">
        <v>44</v>
      </c>
      <c r="C113" s="15" t="s">
        <v>471</v>
      </c>
      <c r="D113" s="255">
        <f>'App9. Data for tables'!$G$61</f>
        <v>11</v>
      </c>
      <c r="E113" s="256">
        <f>'App9. Data for tables'!$G$7</f>
        <v>63</v>
      </c>
      <c r="F113" s="254">
        <f>D113*E113</f>
        <v>693</v>
      </c>
      <c r="G113" s="256">
        <f>'App9. Data for tables'!$G$78</f>
        <v>10</v>
      </c>
      <c r="H113" s="254">
        <f t="shared" si="3"/>
        <v>6930</v>
      </c>
    </row>
    <row r="114" spans="2:8" x14ac:dyDescent="0.25">
      <c r="B114" s="251" t="s">
        <v>44</v>
      </c>
      <c r="C114" s="209" t="s">
        <v>177</v>
      </c>
      <c r="D114" s="258">
        <f>'App9. Data for tables'!$G$67</f>
        <v>276.5</v>
      </c>
      <c r="E114" s="259">
        <f>'App9. Data for tables'!$G$7</f>
        <v>63</v>
      </c>
      <c r="F114" s="260">
        <f>D114*E114</f>
        <v>17419.5</v>
      </c>
      <c r="G114" s="259">
        <f>'App9. Data for tables'!$G$78</f>
        <v>10</v>
      </c>
      <c r="H114" s="260">
        <f t="shared" si="3"/>
        <v>174195</v>
      </c>
    </row>
    <row r="115" spans="2:8" x14ac:dyDescent="0.25">
      <c r="B115" s="9" t="s">
        <v>80</v>
      </c>
      <c r="C115" s="13"/>
      <c r="D115" s="256"/>
      <c r="E115" s="254"/>
      <c r="F115" s="256"/>
      <c r="G115" s="254"/>
      <c r="H115" s="261"/>
    </row>
    <row r="116" spans="2:8" x14ac:dyDescent="0.25">
      <c r="B116" s="12" t="s">
        <v>178</v>
      </c>
      <c r="C116" s="56"/>
      <c r="H116" s="261"/>
    </row>
    <row r="117" spans="2:8" x14ac:dyDescent="0.25">
      <c r="B117" s="12" t="s">
        <v>179</v>
      </c>
      <c r="C117" s="56"/>
      <c r="H117" s="261"/>
    </row>
    <row r="118" spans="2:8" x14ac:dyDescent="0.25">
      <c r="B118" s="12" t="s">
        <v>180</v>
      </c>
      <c r="C118" s="56"/>
      <c r="H118" s="261"/>
    </row>
    <row r="119" spans="2:8" x14ac:dyDescent="0.25">
      <c r="B119" s="12" t="s">
        <v>181</v>
      </c>
      <c r="C119" s="56"/>
      <c r="H119" s="261"/>
    </row>
    <row r="120" spans="2:8" x14ac:dyDescent="0.25">
      <c r="B120" s="12" t="s">
        <v>182</v>
      </c>
      <c r="H120" s="261"/>
    </row>
    <row r="121" spans="2:8" x14ac:dyDescent="0.25">
      <c r="B121" s="12" t="s">
        <v>183</v>
      </c>
      <c r="H121" s="261"/>
    </row>
    <row r="122" spans="2:8" ht="28.95" customHeight="1" x14ac:dyDescent="0.25">
      <c r="B122" s="302" t="s">
        <v>184</v>
      </c>
      <c r="C122" s="302"/>
      <c r="D122" s="302"/>
      <c r="E122" s="302"/>
      <c r="F122" s="302"/>
      <c r="G122" s="302"/>
      <c r="H122" s="302"/>
    </row>
    <row r="123" spans="2:8" ht="16.95" customHeight="1" x14ac:dyDescent="0.25">
      <c r="B123" s="12" t="s">
        <v>185</v>
      </c>
      <c r="H123" s="261"/>
    </row>
    <row r="124" spans="2:8" ht="13.8" customHeight="1" x14ac:dyDescent="0.25">
      <c r="B124" s="43" t="s">
        <v>186</v>
      </c>
      <c r="C124" s="181"/>
      <c r="D124" s="262"/>
      <c r="E124" s="262"/>
      <c r="F124" s="262"/>
      <c r="G124" s="262"/>
      <c r="H124" s="261"/>
    </row>
    <row r="125" spans="2:8" x14ac:dyDescent="0.25">
      <c r="B125" s="12" t="s">
        <v>187</v>
      </c>
      <c r="H125" s="261"/>
    </row>
    <row r="126" spans="2:8" x14ac:dyDescent="0.25">
      <c r="B126" s="12" t="s">
        <v>188</v>
      </c>
      <c r="H126" s="261"/>
    </row>
    <row r="127" spans="2:8" x14ac:dyDescent="0.25">
      <c r="B127" s="12" t="s">
        <v>189</v>
      </c>
      <c r="H127" s="261"/>
    </row>
    <row r="128" spans="2:8" x14ac:dyDescent="0.25">
      <c r="B128" s="12" t="s">
        <v>190</v>
      </c>
      <c r="H128" s="261"/>
    </row>
    <row r="129" spans="2:8" x14ac:dyDescent="0.25">
      <c r="B129" s="12" t="s">
        <v>191</v>
      </c>
      <c r="H129" s="261"/>
    </row>
  </sheetData>
  <protectedRanges>
    <protectedRange sqref="D4:F114" name="Range2"/>
    <protectedRange sqref="C115:E115" name="Range2_1"/>
  </protectedRanges>
  <mergeCells count="2">
    <mergeCell ref="B122:H122"/>
    <mergeCell ref="B2:H2"/>
  </mergeCells>
  <phoneticPr fontId="17" type="noConversion"/>
  <pageMargins left="0.7" right="0.7" top="0.75" bottom="0.75" header="0.3" footer="0.3"/>
  <pageSetup orientation="portrait"/>
  <ignoredErrors>
    <ignoredError sqref="D9:D11 D97:E98 F107 D111:D114 F111:F114 F15 F45:F48 F29:F32 D75:E76 D84:E84 D106:F106 D108:F110 D63:E65 D86:E88 F12:F13 D55:E56 F4 F42:F43 D59:E60 F70:F71 F35 F72 F51 F18 F39:F40 F41 F25:F27 F58:F65 F5:F8 F9:F10 F19:F24 F33 F36:F37 F52:F57 D66:E69 F66:F69 F94 F73:F74 F75:F88 D89:E92 F89:F92 F93 F95:F96 F97:F105" unlockedFormula="1"/>
    <ignoredError sqref="G94 G72" formula="1" unlockedFormula="1"/>
    <ignoredError sqref="G66:G71 G73:G93 G95:G114 G9:G10" 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36"/>
  <sheetViews>
    <sheetView workbookViewId="0">
      <selection activeCell="B2" sqref="B2:G2"/>
    </sheetView>
  </sheetViews>
  <sheetFormatPr defaultColWidth="9.109375" defaultRowHeight="13.8" x14ac:dyDescent="0.25"/>
  <cols>
    <col min="1" max="1" width="6.6640625" style="10" customWidth="1"/>
    <col min="2" max="2" width="54.109375" style="9" customWidth="1"/>
    <col min="3" max="3" width="12" style="196" customWidth="1"/>
    <col min="4" max="4" width="12.6640625" style="196" customWidth="1"/>
    <col min="5" max="5" width="12.33203125" style="196" customWidth="1"/>
    <col min="6" max="6" width="12.6640625" style="196" customWidth="1"/>
    <col min="7" max="7" width="14.44140625" style="196" customWidth="1"/>
    <col min="8" max="8" width="4.44140625" style="9" customWidth="1"/>
    <col min="9" max="10" width="9.109375" style="9"/>
    <col min="11" max="16384" width="9.109375" style="10"/>
  </cols>
  <sheetData>
    <row r="2" spans="2:10" ht="45" customHeight="1" x14ac:dyDescent="0.3">
      <c r="B2" s="310" t="s">
        <v>474</v>
      </c>
      <c r="C2" s="310"/>
      <c r="D2" s="310"/>
      <c r="E2" s="310"/>
      <c r="F2" s="310"/>
      <c r="G2" s="310"/>
    </row>
    <row r="3" spans="2:10" s="14" customFormat="1" ht="27.6" x14ac:dyDescent="0.25">
      <c r="B3" s="246" t="s">
        <v>101</v>
      </c>
      <c r="C3" s="252" t="s">
        <v>157</v>
      </c>
      <c r="D3" s="252" t="s">
        <v>158</v>
      </c>
      <c r="E3" s="252" t="s">
        <v>159</v>
      </c>
      <c r="F3" s="252" t="s">
        <v>135</v>
      </c>
      <c r="G3" s="253" t="s">
        <v>160</v>
      </c>
      <c r="H3" s="196"/>
      <c r="I3" s="9"/>
      <c r="J3" s="9"/>
    </row>
    <row r="4" spans="2:10" x14ac:dyDescent="0.25">
      <c r="B4" s="15" t="s">
        <v>475</v>
      </c>
      <c r="C4" s="254"/>
      <c r="D4" s="254"/>
      <c r="E4" s="255">
        <f>'App9. Data for tables'!$H$22</f>
        <v>150</v>
      </c>
      <c r="F4" s="256">
        <f>'App9. Data for tables'!$H$78</f>
        <v>10</v>
      </c>
      <c r="G4" s="254">
        <f>E4*F4</f>
        <v>1500</v>
      </c>
      <c r="I4" s="14"/>
      <c r="J4" s="14"/>
    </row>
    <row r="5" spans="2:10" ht="16.8" x14ac:dyDescent="0.25">
      <c r="B5" s="9" t="s">
        <v>192</v>
      </c>
      <c r="C5" s="255"/>
      <c r="D5" s="256"/>
      <c r="E5" s="254">
        <f>('App9. Data for tables'!$H$28*'App9. Data for tables'!$H$29)+('App9. Data for tables'!$H$30*'App9. Data for tables'!$H$31)</f>
        <v>1068.75</v>
      </c>
      <c r="F5" s="256">
        <f>'App9. Data for tables'!$H$78</f>
        <v>10</v>
      </c>
      <c r="G5" s="254">
        <f t="shared" ref="G5:G25" si="0">E5*F5</f>
        <v>10687.5</v>
      </c>
    </row>
    <row r="6" spans="2:10" ht="16.8" x14ac:dyDescent="0.25">
      <c r="B6" s="9" t="s">
        <v>193</v>
      </c>
      <c r="C6" s="255"/>
      <c r="D6" s="256"/>
      <c r="E6" s="254">
        <f>('App9. Data for tables'!$H$32*'App9. Data for tables'!$H$33)</f>
        <v>0</v>
      </c>
      <c r="F6" s="256">
        <f>'App9. Data for tables'!$H$78</f>
        <v>10</v>
      </c>
      <c r="G6" s="254">
        <f t="shared" si="0"/>
        <v>0</v>
      </c>
    </row>
    <row r="7" spans="2:10" ht="16.8" x14ac:dyDescent="0.25">
      <c r="B7" s="9" t="s">
        <v>194</v>
      </c>
      <c r="C7" s="254"/>
      <c r="D7" s="256"/>
      <c r="E7" s="255">
        <f>'App9. Data for tables'!$H$36+('App9. Data for tables'!$H$37*'App9. Data for tables'!$H$38)</f>
        <v>1787.32</v>
      </c>
      <c r="F7" s="256">
        <f>'App9. Data for tables'!$H$78</f>
        <v>10</v>
      </c>
      <c r="G7" s="254">
        <f t="shared" si="0"/>
        <v>17873.2</v>
      </c>
    </row>
    <row r="8" spans="2:10" ht="16.8" x14ac:dyDescent="0.25">
      <c r="B8" s="15" t="s">
        <v>476</v>
      </c>
      <c r="C8" s="255"/>
      <c r="D8" s="39"/>
      <c r="E8" s="254">
        <f>'App9. Data for tables'!$H$39</f>
        <v>370</v>
      </c>
      <c r="F8" s="256">
        <f>'App9. Data for tables'!$H$78</f>
        <v>10</v>
      </c>
      <c r="G8" s="254">
        <f t="shared" si="0"/>
        <v>3700</v>
      </c>
    </row>
    <row r="9" spans="2:10" ht="16.8" x14ac:dyDescent="0.25">
      <c r="B9" s="15" t="s">
        <v>477</v>
      </c>
      <c r="C9" s="255"/>
      <c r="D9" s="39"/>
      <c r="E9" s="254">
        <f>('App9. Data for tables'!$H$40*'App9. Data for tables'!$H$41)</f>
        <v>24.75</v>
      </c>
      <c r="F9" s="256">
        <f>'App9. Data for tables'!$H$78</f>
        <v>10</v>
      </c>
      <c r="G9" s="254">
        <f t="shared" si="0"/>
        <v>247.5</v>
      </c>
    </row>
    <row r="10" spans="2:10" x14ac:dyDescent="0.25">
      <c r="B10" s="15" t="s">
        <v>167</v>
      </c>
      <c r="C10" s="255"/>
      <c r="D10" s="39"/>
      <c r="E10" s="255">
        <f>'App9. Data for tables'!$H$42</f>
        <v>170</v>
      </c>
      <c r="F10" s="256">
        <f>'App9. Data for tables'!$H$78</f>
        <v>10</v>
      </c>
      <c r="G10" s="254">
        <f t="shared" si="0"/>
        <v>1700</v>
      </c>
    </row>
    <row r="11" spans="2:10" x14ac:dyDescent="0.25">
      <c r="B11" s="15" t="s">
        <v>168</v>
      </c>
      <c r="C11" s="254"/>
      <c r="D11" s="254"/>
      <c r="E11" s="255">
        <f>'App9. Data for tables'!$H$43</f>
        <v>195</v>
      </c>
      <c r="F11" s="256">
        <f>'App9. Data for tables'!$H$78</f>
        <v>10</v>
      </c>
      <c r="G11" s="254">
        <f t="shared" si="0"/>
        <v>1950</v>
      </c>
    </row>
    <row r="12" spans="2:10" ht="16.8" x14ac:dyDescent="0.25">
      <c r="B12" s="15" t="s">
        <v>195</v>
      </c>
      <c r="C12" s="254"/>
      <c r="D12" s="254"/>
      <c r="E12" s="255">
        <f>('App9. Data for tables'!$H$44*'App9. Data for tables'!$H$45)</f>
        <v>361.27</v>
      </c>
      <c r="F12" s="256">
        <f>'App9. Data for tables'!$H$78</f>
        <v>10</v>
      </c>
      <c r="G12" s="254">
        <f t="shared" si="0"/>
        <v>3612.7</v>
      </c>
    </row>
    <row r="13" spans="2:10" x14ac:dyDescent="0.25">
      <c r="B13" s="9" t="s">
        <v>50</v>
      </c>
      <c r="C13" s="255"/>
      <c r="D13" s="39"/>
      <c r="E13" s="254">
        <f>'App9. Data for tables'!$H$46*'App9. Data for tables'!$H$47</f>
        <v>65</v>
      </c>
      <c r="F13" s="256">
        <f>'App9. Data for tables'!$H$78</f>
        <v>10</v>
      </c>
      <c r="G13" s="254">
        <f t="shared" si="0"/>
        <v>650</v>
      </c>
    </row>
    <row r="14" spans="2:10" ht="16.8" x14ac:dyDescent="0.25">
      <c r="B14" s="15" t="s">
        <v>196</v>
      </c>
      <c r="C14" s="254"/>
      <c r="D14" s="254"/>
      <c r="E14" s="255">
        <f>('App9. Data for tables'!$H$51*'App9. Data for tables'!$H$52)</f>
        <v>9.9</v>
      </c>
      <c r="F14" s="256">
        <f>'App9. Data for tables'!$H$78</f>
        <v>10</v>
      </c>
      <c r="G14" s="254">
        <f t="shared" si="0"/>
        <v>99</v>
      </c>
    </row>
    <row r="15" spans="2:10" ht="16.8" x14ac:dyDescent="0.25">
      <c r="B15" s="15" t="s">
        <v>197</v>
      </c>
      <c r="C15" s="254"/>
      <c r="D15" s="254"/>
      <c r="E15" s="255">
        <f>SUM('App9. Data for tables'!$H$53:$H$57)</f>
        <v>425</v>
      </c>
      <c r="F15" s="256">
        <f>'App9. Data for tables'!$H$78</f>
        <v>10</v>
      </c>
      <c r="G15" s="254">
        <f t="shared" si="0"/>
        <v>4250</v>
      </c>
    </row>
    <row r="16" spans="2:10" ht="16.8" x14ac:dyDescent="0.25">
      <c r="B16" s="15" t="s">
        <v>198</v>
      </c>
      <c r="C16" s="254"/>
      <c r="D16" s="254"/>
      <c r="E16" s="255">
        <f>'App9. Data for tables'!$H$58</f>
        <v>270</v>
      </c>
      <c r="F16" s="256">
        <f>'App9. Data for tables'!$H$78</f>
        <v>10</v>
      </c>
      <c r="G16" s="254">
        <f t="shared" si="0"/>
        <v>2700</v>
      </c>
    </row>
    <row r="17" spans="2:7" ht="16.8" x14ac:dyDescent="0.25">
      <c r="B17" s="15" t="s">
        <v>51</v>
      </c>
      <c r="C17" s="255"/>
      <c r="D17" s="39"/>
      <c r="E17" s="254">
        <f>'App9. Data for tables'!$H$68</f>
        <v>300</v>
      </c>
      <c r="F17" s="256">
        <f>'App9. Data for tables'!$H$78</f>
        <v>10</v>
      </c>
      <c r="G17" s="254">
        <f t="shared" si="0"/>
        <v>3000</v>
      </c>
    </row>
    <row r="18" spans="2:7" x14ac:dyDescent="0.25">
      <c r="B18" s="15" t="s">
        <v>58</v>
      </c>
      <c r="C18" s="254"/>
      <c r="D18" s="256"/>
      <c r="E18" s="255">
        <f>'App9. Data for tables'!$H$69</f>
        <v>190</v>
      </c>
      <c r="F18" s="256">
        <f>'App9. Data for tables'!$H$78</f>
        <v>10</v>
      </c>
      <c r="G18" s="254">
        <f t="shared" si="0"/>
        <v>1900</v>
      </c>
    </row>
    <row r="19" spans="2:7" x14ac:dyDescent="0.25">
      <c r="B19" s="15" t="s">
        <v>59</v>
      </c>
      <c r="C19" s="254"/>
      <c r="D19" s="254"/>
      <c r="E19" s="255">
        <f>'App9. Data for tables'!$H$70</f>
        <v>200</v>
      </c>
      <c r="F19" s="256">
        <f>'App9. Data for tables'!$H$78</f>
        <v>10</v>
      </c>
      <c r="G19" s="254">
        <f t="shared" si="0"/>
        <v>2000</v>
      </c>
    </row>
    <row r="20" spans="2:7" x14ac:dyDescent="0.25">
      <c r="B20" s="15" t="s">
        <v>199</v>
      </c>
      <c r="C20" s="254"/>
      <c r="D20" s="254"/>
      <c r="E20" s="255">
        <f>'App9. Data for tables'!$H$71</f>
        <v>600</v>
      </c>
      <c r="F20" s="256">
        <f>'App9. Data for tables'!$H$78</f>
        <v>10</v>
      </c>
      <c r="G20" s="254">
        <f t="shared" si="0"/>
        <v>6000</v>
      </c>
    </row>
    <row r="21" spans="2:7" ht="16.8" x14ac:dyDescent="0.25">
      <c r="B21" s="15" t="s">
        <v>200</v>
      </c>
      <c r="C21" s="254"/>
      <c r="D21" s="254"/>
      <c r="E21" s="255">
        <f>'App9. Data for tables'!$H$72</f>
        <v>750</v>
      </c>
      <c r="F21" s="256">
        <f>'App9. Data for tables'!$H$78</f>
        <v>10</v>
      </c>
      <c r="G21" s="254">
        <f t="shared" si="0"/>
        <v>7500</v>
      </c>
    </row>
    <row r="22" spans="2:7" x14ac:dyDescent="0.25">
      <c r="B22" s="15" t="s">
        <v>469</v>
      </c>
      <c r="C22" s="255">
        <f>'App9. Data for tables'!$H$59</f>
        <v>43</v>
      </c>
      <c r="D22" s="256">
        <f>'App9. Data for tables'!$H$7</f>
        <v>78</v>
      </c>
      <c r="E22" s="254">
        <f>C22*D22</f>
        <v>3354</v>
      </c>
      <c r="F22" s="256">
        <f>'App9. Data for tables'!$H$78</f>
        <v>10</v>
      </c>
      <c r="G22" s="254">
        <f t="shared" si="0"/>
        <v>33540</v>
      </c>
    </row>
    <row r="23" spans="2:7" x14ac:dyDescent="0.25">
      <c r="B23" s="15" t="s">
        <v>470</v>
      </c>
      <c r="C23" s="255">
        <f>'App9. Data for tables'!$H$60</f>
        <v>11</v>
      </c>
      <c r="D23" s="256">
        <f>'App9. Data for tables'!$H$7</f>
        <v>78</v>
      </c>
      <c r="E23" s="254">
        <f>C23*D23</f>
        <v>858</v>
      </c>
      <c r="F23" s="256">
        <f>'App9. Data for tables'!$H$78</f>
        <v>10</v>
      </c>
      <c r="G23" s="254">
        <f t="shared" si="0"/>
        <v>8580</v>
      </c>
    </row>
    <row r="24" spans="2:7" x14ac:dyDescent="0.25">
      <c r="B24" s="15" t="s">
        <v>471</v>
      </c>
      <c r="C24" s="255">
        <f>'App9. Data for tables'!$H$61</f>
        <v>11</v>
      </c>
      <c r="D24" s="256">
        <f>'App9. Data for tables'!$H$7</f>
        <v>78</v>
      </c>
      <c r="E24" s="254">
        <f>C24*D24</f>
        <v>858</v>
      </c>
      <c r="F24" s="256">
        <f>'App9. Data for tables'!$H$78</f>
        <v>10</v>
      </c>
      <c r="G24" s="254">
        <f t="shared" si="0"/>
        <v>8580</v>
      </c>
    </row>
    <row r="25" spans="2:7" x14ac:dyDescent="0.25">
      <c r="B25" s="100" t="s">
        <v>177</v>
      </c>
      <c r="C25" s="258">
        <f>'App9. Data for tables'!$H$67</f>
        <v>276.5</v>
      </c>
      <c r="D25" s="259">
        <f>'App9. Data for tables'!$H$7</f>
        <v>78</v>
      </c>
      <c r="E25" s="260">
        <f>C25*D25</f>
        <v>21567</v>
      </c>
      <c r="F25" s="259">
        <f>'App9. Data for tables'!$H$78</f>
        <v>10</v>
      </c>
      <c r="G25" s="260">
        <f t="shared" si="0"/>
        <v>215670</v>
      </c>
    </row>
    <row r="26" spans="2:7" x14ac:dyDescent="0.25">
      <c r="B26" s="9" t="s">
        <v>80</v>
      </c>
      <c r="C26" s="255"/>
      <c r="D26" s="256"/>
      <c r="E26" s="254"/>
      <c r="F26" s="256"/>
      <c r="G26" s="254"/>
    </row>
    <row r="27" spans="2:7" x14ac:dyDescent="0.25">
      <c r="B27" s="12" t="s">
        <v>201</v>
      </c>
    </row>
    <row r="28" spans="2:7" x14ac:dyDescent="0.25">
      <c r="B28" s="12" t="s">
        <v>202</v>
      </c>
    </row>
    <row r="29" spans="2:7" x14ac:dyDescent="0.25">
      <c r="B29" s="12" t="s">
        <v>203</v>
      </c>
    </row>
    <row r="30" spans="2:7" x14ac:dyDescent="0.25">
      <c r="B30" s="12" t="s">
        <v>204</v>
      </c>
      <c r="E30" s="212"/>
    </row>
    <row r="31" spans="2:7" ht="30" customHeight="1" x14ac:dyDescent="0.25">
      <c r="B31" s="302" t="s">
        <v>205</v>
      </c>
      <c r="C31" s="302"/>
      <c r="D31" s="302"/>
      <c r="E31" s="302"/>
      <c r="F31" s="302"/>
      <c r="G31" s="302"/>
    </row>
    <row r="32" spans="2:7" ht="16.95" customHeight="1" x14ac:dyDescent="0.25">
      <c r="B32" s="302" t="s">
        <v>206</v>
      </c>
      <c r="C32" s="302"/>
      <c r="D32" s="302"/>
      <c r="E32" s="302"/>
      <c r="F32" s="302"/>
      <c r="G32" s="302"/>
    </row>
    <row r="33" spans="2:2" x14ac:dyDescent="0.25">
      <c r="B33" s="12" t="s">
        <v>207</v>
      </c>
    </row>
    <row r="34" spans="2:2" x14ac:dyDescent="0.25">
      <c r="B34" s="12" t="s">
        <v>208</v>
      </c>
    </row>
    <row r="35" spans="2:2" x14ac:dyDescent="0.25">
      <c r="B35" s="12" t="s">
        <v>209</v>
      </c>
    </row>
    <row r="36" spans="2:2" x14ac:dyDescent="0.25">
      <c r="B36" s="12" t="s">
        <v>210</v>
      </c>
    </row>
  </sheetData>
  <protectedRanges>
    <protectedRange sqref="C13:D13 C14:E17 C5:E12 C19:E26" name="Range2"/>
    <protectedRange sqref="C18:E18" name="Range2_1"/>
    <protectedRange sqref="C4:E4" name="Range2_3"/>
    <protectedRange sqref="E13" name="Range2_5"/>
  </protectedRanges>
  <mergeCells count="3">
    <mergeCell ref="B2:G2"/>
    <mergeCell ref="B31:G31"/>
    <mergeCell ref="B32:G32"/>
  </mergeCells>
  <phoneticPr fontId="17" type="noConversion"/>
  <pageMargins left="0.7" right="0.7" top="0.75" bottom="0.75" header="0.3" footer="0.3"/>
  <pageSetup orientation="portrait"/>
  <ignoredErrors>
    <ignoredError sqref="C8:D9 C22:C25 E22:E25 C14:D16 C21:E21 C19:D20 E17:F20 E5:F7 E10:F16 E4 E8:E9" unlockedFormula="1"/>
    <ignoredError sqref="F22:F25" 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ddc9d20-b71f-4856-9479-006414ff5e8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7D58288229BC4088569E048B6F0070" ma:contentTypeVersion="18" ma:contentTypeDescription="Create a new document." ma:contentTypeScope="" ma:versionID="ee464c4f146fddf4228e353f13f96465">
  <xsd:schema xmlns:xsd="http://www.w3.org/2001/XMLSchema" xmlns:xs="http://www.w3.org/2001/XMLSchema" xmlns:p="http://schemas.microsoft.com/office/2006/metadata/properties" xmlns:ns3="9ddc9d20-b71f-4856-9479-006414ff5e84" xmlns:ns4="2b322f46-9662-42fc-bc17-091c716e99e0" targetNamespace="http://schemas.microsoft.com/office/2006/metadata/properties" ma:root="true" ma:fieldsID="e3af4ef9d2f9f4bcb7d6d07f95377f75" ns3:_="" ns4:_="">
    <xsd:import namespace="9ddc9d20-b71f-4856-9479-006414ff5e84"/>
    <xsd:import namespace="2b322f46-9662-42fc-bc17-091c716e99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c9d20-b71f-4856-9479-006414ff5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22f46-9662-42fc-bc17-091c716e99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2AF511-652F-4A3E-A434-A866251EBA89}">
  <ds:schemaRefs>
    <ds:schemaRef ds:uri="9ddc9d20-b71f-4856-9479-006414ff5e84"/>
    <ds:schemaRef ds:uri="http://purl.org/dc/term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2b322f46-9662-42fc-bc17-091c716e99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F3CEFBB-BB9F-4819-BC2E-074C2D3F7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c9d20-b71f-4856-9479-006414ff5e84"/>
    <ds:schemaRef ds:uri="2b322f46-9662-42fc-bc17-091c716e9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42103D-F8A2-4768-8CB9-E75E029DB7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Cosmic Crisp-Spindle Budget</vt:lpstr>
      <vt:lpstr>Price &amp; Yield Analysis</vt:lpstr>
      <vt:lpstr>Breakeven Return</vt:lpstr>
      <vt:lpstr>App1. Capital Req</vt:lpstr>
      <vt:lpstr>App2. Mach Etc Req</vt:lpstr>
      <vt:lpstr>App3&amp;4. Int&amp;Dep</vt:lpstr>
      <vt:lpstr>App5. Estab Costs</vt:lpstr>
      <vt:lpstr>App6. Full Prod Costs</vt:lpstr>
      <vt:lpstr>App7. Salv Value &amp; Dep Calc</vt:lpstr>
      <vt:lpstr>App8. Amort Calc</vt:lpstr>
      <vt:lpstr>App9. Data for tables</vt:lpstr>
      <vt:lpstr>'App2. Mach Etc Req'!Print_Area</vt:lpstr>
      <vt:lpstr>'App9. Data for tables'!Print_Area</vt:lpstr>
      <vt:lpstr>'Cosmic Crisp-Spindle Budget'!Print_Area</vt:lpstr>
      <vt:lpstr>Intro!Print_Area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m_taylor</dc:creator>
  <cp:keywords/>
  <dc:description/>
  <cp:lastModifiedBy>Suzette P Galinato</cp:lastModifiedBy>
  <cp:revision/>
  <dcterms:created xsi:type="dcterms:W3CDTF">2009-07-08T23:24:01Z</dcterms:created>
  <dcterms:modified xsi:type="dcterms:W3CDTF">2025-08-11T19:55:23Z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0x010100217D58288229BC4088569E048B6F0070</vt:lpwstr>
  </property>
</Properties>
</file>