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V Trellis\"/>
    </mc:Choice>
  </mc:AlternateContent>
  <xr:revisionPtr revIDLastSave="0" documentId="13_ncr:1_{D786CCA0-4232-41E4-B4CD-E14ABF3170EF}" xr6:coauthVersionLast="47" xr6:coauthVersionMax="47" xr10:uidLastSave="{00000000-0000-0000-0000-000000000000}"/>
  <bookViews>
    <workbookView xWindow="-108" yWindow="-108" windowWidth="23256" windowHeight="12456" xr2:uid="{07051919-F9DE-408C-B697-7CF80B5CF34E}"/>
  </bookViews>
  <sheets>
    <sheet name="Intro" sheetId="10" r:id="rId1"/>
    <sheet name="Granny Smith-Angled V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'Granny Smith-Angled V Budget'!$C$2:$J$62</definedName>
    <definedName name="_xlnm.Print_Area" localSheetId="0">Intro!$B$2:$L$10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2" i="1" l="1"/>
  <c r="I31" i="1"/>
  <c r="I32" i="1"/>
  <c r="I30" i="1"/>
  <c r="I25" i="1"/>
  <c r="I24" i="1"/>
  <c r="I21" i="1"/>
  <c r="I22" i="1"/>
  <c r="I23" i="1"/>
  <c r="I20" i="1"/>
  <c r="I19" i="1"/>
  <c r="I18" i="1"/>
  <c r="I17" i="1"/>
  <c r="I16" i="1"/>
  <c r="I15" i="1"/>
  <c r="I14" i="1"/>
  <c r="I13" i="1"/>
  <c r="I12" i="1"/>
  <c r="I11" i="1"/>
  <c r="I10" i="1"/>
  <c r="H52" i="1"/>
  <c r="H35" i="1"/>
  <c r="H31" i="1"/>
  <c r="H32" i="1"/>
  <c r="H30" i="1"/>
  <c r="H25" i="1"/>
  <c r="H24" i="1"/>
  <c r="H21" i="1"/>
  <c r="H22" i="1"/>
  <c r="H23" i="1"/>
  <c r="H20" i="1"/>
  <c r="H19" i="1"/>
  <c r="H18" i="1"/>
  <c r="H17" i="1"/>
  <c r="H16" i="1"/>
  <c r="H15" i="1"/>
  <c r="H14" i="1"/>
  <c r="H13" i="1"/>
  <c r="H12" i="1"/>
  <c r="H11" i="1"/>
  <c r="H10" i="1"/>
  <c r="G52" i="1"/>
  <c r="G31" i="1"/>
  <c r="G32" i="1"/>
  <c r="G30" i="1"/>
  <c r="G25" i="1"/>
  <c r="G24" i="1"/>
  <c r="G21" i="1"/>
  <c r="G22" i="1"/>
  <c r="G23" i="1"/>
  <c r="G20" i="1"/>
  <c r="G19" i="1"/>
  <c r="G18" i="1"/>
  <c r="G17" i="1"/>
  <c r="G15" i="1"/>
  <c r="G14" i="1"/>
  <c r="G13" i="1"/>
  <c r="G12" i="1"/>
  <c r="G11" i="1"/>
  <c r="G10" i="1"/>
  <c r="G16" i="1"/>
  <c r="F52" i="1"/>
  <c r="F31" i="1"/>
  <c r="F32" i="1"/>
  <c r="F30" i="1"/>
  <c r="F25" i="1"/>
  <c r="F24" i="1"/>
  <c r="F21" i="1"/>
  <c r="F22" i="1"/>
  <c r="F23" i="1"/>
  <c r="F20" i="1"/>
  <c r="F19" i="1"/>
  <c r="F17" i="1"/>
  <c r="F16" i="1"/>
  <c r="F18" i="1"/>
  <c r="F15" i="1"/>
  <c r="F14" i="1"/>
  <c r="F13" i="1"/>
  <c r="F12" i="1"/>
  <c r="F11" i="1"/>
  <c r="F10" i="1"/>
  <c r="E52" i="1"/>
  <c r="E31" i="1"/>
  <c r="E32" i="1"/>
  <c r="E30" i="1"/>
  <c r="E25" i="1"/>
  <c r="E24" i="1"/>
  <c r="E19" i="1"/>
  <c r="E17" i="1"/>
  <c r="E15" i="1"/>
  <c r="E14" i="1"/>
  <c r="E13" i="1"/>
  <c r="E12" i="1"/>
  <c r="E11" i="1"/>
  <c r="E10" i="1"/>
  <c r="D52" i="1"/>
  <c r="C4" i="7" l="1"/>
  <c r="C7" i="2"/>
  <c r="D31" i="1"/>
  <c r="D32" i="1"/>
  <c r="D30" i="1"/>
  <c r="D25" i="1"/>
  <c r="D24" i="1"/>
  <c r="D19" i="1"/>
  <c r="D17" i="1"/>
  <c r="D15" i="1"/>
  <c r="D14" i="1"/>
  <c r="D13" i="1"/>
  <c r="D12" i="1"/>
  <c r="D11" i="1"/>
  <c r="D10" i="1"/>
  <c r="D9" i="1"/>
  <c r="D8" i="1"/>
  <c r="F8" i="6"/>
  <c r="F9" i="6"/>
  <c r="F10" i="6"/>
  <c r="F11" i="6"/>
  <c r="F12" i="6"/>
  <c r="F4" i="6"/>
  <c r="H96" i="3"/>
  <c r="H97" i="3"/>
  <c r="H98" i="3"/>
  <c r="H99" i="3"/>
  <c r="H100" i="3"/>
  <c r="H101" i="3"/>
  <c r="H102" i="3"/>
  <c r="H103" i="3"/>
  <c r="H104" i="3"/>
  <c r="H105" i="3"/>
  <c r="H106" i="3"/>
  <c r="H107" i="3"/>
  <c r="H108" i="3"/>
  <c r="H109" i="3"/>
  <c r="H110" i="3"/>
  <c r="H111" i="3"/>
  <c r="H112" i="3"/>
  <c r="H113" i="3"/>
  <c r="H114" i="3"/>
  <c r="H115" i="3"/>
  <c r="G96" i="3"/>
  <c r="G97" i="3"/>
  <c r="G98" i="3"/>
  <c r="G99" i="3"/>
  <c r="G100" i="3"/>
  <c r="G101" i="3"/>
  <c r="G102" i="3"/>
  <c r="G103" i="3"/>
  <c r="G104" i="3"/>
  <c r="G105" i="3"/>
  <c r="G106" i="3"/>
  <c r="G107" i="3"/>
  <c r="G108" i="3"/>
  <c r="G109" i="3"/>
  <c r="G110" i="3"/>
  <c r="G111" i="3"/>
  <c r="G112" i="3"/>
  <c r="G113" i="3"/>
  <c r="G114" i="3"/>
  <c r="G115" i="3"/>
  <c r="G94" i="3"/>
  <c r="G76" i="3"/>
  <c r="G77" i="3"/>
  <c r="G78" i="3"/>
  <c r="G79" i="3"/>
  <c r="G80" i="3"/>
  <c r="G81" i="3"/>
  <c r="G82" i="3"/>
  <c r="G83" i="3"/>
  <c r="G84" i="3"/>
  <c r="G85" i="3"/>
  <c r="G86" i="3"/>
  <c r="G87" i="3"/>
  <c r="G88" i="3"/>
  <c r="G89" i="3"/>
  <c r="G90" i="3"/>
  <c r="G91" i="3"/>
  <c r="G92" i="3"/>
  <c r="G93" i="3"/>
  <c r="G72" i="3"/>
  <c r="G73" i="3"/>
  <c r="G74" i="3"/>
  <c r="G75" i="3"/>
  <c r="G49" i="3"/>
  <c r="G50" i="3"/>
  <c r="G51" i="3"/>
  <c r="G52" i="3"/>
  <c r="G53" i="3"/>
  <c r="G54" i="3"/>
  <c r="G55" i="3"/>
  <c r="G56" i="3"/>
  <c r="G57" i="3"/>
  <c r="G58" i="3"/>
  <c r="G59" i="3"/>
  <c r="G60" i="3"/>
  <c r="G61" i="3"/>
  <c r="G62" i="3"/>
  <c r="G63" i="3"/>
  <c r="G64" i="3"/>
  <c r="G65" i="3"/>
  <c r="G66" i="3"/>
  <c r="G67" i="3"/>
  <c r="G68" i="3"/>
  <c r="G69" i="3"/>
  <c r="G70" i="3"/>
  <c r="G71" i="3"/>
  <c r="G34" i="3"/>
  <c r="G35" i="3"/>
  <c r="G36" i="3"/>
  <c r="G37" i="3"/>
  <c r="G38" i="3"/>
  <c r="G39" i="3"/>
  <c r="G40" i="3"/>
  <c r="G41" i="3"/>
  <c r="G42" i="3"/>
  <c r="G43" i="3"/>
  <c r="G44" i="3"/>
  <c r="G45" i="3"/>
  <c r="G46" i="3"/>
  <c r="G47" i="3"/>
  <c r="G48"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F4" i="1" l="1"/>
  <c r="G4" i="1"/>
  <c r="H4" i="1"/>
  <c r="I4" i="1"/>
  <c r="C6" i="9"/>
  <c r="C7" i="9"/>
  <c r="C9" i="16" l="1"/>
  <c r="G6" i="1"/>
  <c r="H6" i="1"/>
  <c r="I6" i="1"/>
  <c r="F6" i="1"/>
  <c r="H64" i="13"/>
  <c r="G64" i="13"/>
  <c r="F64" i="13"/>
  <c r="E64" i="13"/>
  <c r="F72" i="3"/>
  <c r="F50" i="3"/>
  <c r="H50" i="3" s="1"/>
  <c r="F49" i="3"/>
  <c r="H49" i="3" s="1"/>
  <c r="H72" i="3" l="1"/>
  <c r="D6" i="1"/>
  <c r="E6" i="1"/>
  <c r="F63" i="13" l="1"/>
  <c r="H61" i="13" l="1"/>
  <c r="G61" i="13"/>
  <c r="F61" i="13"/>
  <c r="H65" i="13"/>
  <c r="G65" i="13"/>
  <c r="F65" i="13"/>
  <c r="C16" i="13"/>
  <c r="F3" i="13" l="1"/>
  <c r="E67" i="13" l="1"/>
  <c r="E7" i="13"/>
  <c r="E6" i="13"/>
  <c r="H63" i="13"/>
  <c r="G63" i="13"/>
  <c r="H59" i="13"/>
  <c r="G59" i="13"/>
  <c r="F59" i="13"/>
  <c r="E4" i="13" l="1"/>
  <c r="H7" i="13"/>
  <c r="G62" i="13" l="1"/>
  <c r="H62" i="13" s="1"/>
  <c r="H3" i="13"/>
  <c r="G3" i="13"/>
  <c r="H6" i="13"/>
  <c r="G6" i="13"/>
  <c r="F6" i="13"/>
  <c r="G7" i="13" l="1"/>
  <c r="F7" i="13"/>
  <c r="C82" i="13"/>
  <c r="C83" i="13"/>
  <c r="C81" i="13"/>
  <c r="C41" i="13" l="1"/>
  <c r="C52" i="13"/>
  <c r="F25" i="3" s="1"/>
  <c r="C50" i="13"/>
  <c r="F24" i="3" s="1"/>
  <c r="D82" i="13"/>
  <c r="H24" i="3" l="1"/>
  <c r="H25" i="3"/>
  <c r="E82" i="13"/>
  <c r="D52" i="13"/>
  <c r="F41" i="3" s="1"/>
  <c r="D41" i="13"/>
  <c r="C5" i="8"/>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H41" i="3" l="1"/>
  <c r="F82" i="13"/>
  <c r="E41" i="13"/>
  <c r="E52" i="13"/>
  <c r="D79" i="13"/>
  <c r="E79" i="13" s="1"/>
  <c r="F79" i="13" s="1"/>
  <c r="G79" i="13" s="1"/>
  <c r="H79" i="13" s="1"/>
  <c r="D78" i="13"/>
  <c r="E78" i="13" s="1"/>
  <c r="D77" i="13"/>
  <c r="E77" i="13" s="1"/>
  <c r="F77" i="13" s="1"/>
  <c r="G77" i="13" s="1"/>
  <c r="H77" i="13" s="1"/>
  <c r="G82" i="13" l="1"/>
  <c r="F41" i="13"/>
  <c r="F52" i="13"/>
  <c r="F78" i="13"/>
  <c r="G78" i="13" s="1"/>
  <c r="H78" i="13" s="1"/>
  <c r="C10" i="9"/>
  <c r="C9" i="9"/>
  <c r="C8" i="9"/>
  <c r="C5" i="9"/>
  <c r="C4" i="9"/>
  <c r="H82" i="13" l="1"/>
  <c r="G41" i="13"/>
  <c r="G52" i="13"/>
  <c r="C11" i="7"/>
  <c r="C10" i="2"/>
  <c r="C5" i="7"/>
  <c r="E13" i="6"/>
  <c r="F7" i="6"/>
  <c r="E4" i="6"/>
  <c r="F103" i="3"/>
  <c r="F94" i="3"/>
  <c r="F81" i="3"/>
  <c r="H81" i="3" s="1"/>
  <c r="G4" i="6" l="1"/>
  <c r="H94" i="3"/>
  <c r="H52" i="13"/>
  <c r="H41" i="13"/>
  <c r="F59" i="3"/>
  <c r="H59" i="3" s="1"/>
  <c r="H4" i="13" l="1"/>
  <c r="G4" i="13"/>
  <c r="F4" i="13"/>
  <c r="F5" i="1" s="1"/>
  <c r="F7" i="1" l="1"/>
  <c r="D5" i="1"/>
  <c r="D7" i="1" s="1"/>
  <c r="E5" i="1"/>
  <c r="E7" i="1" s="1"/>
  <c r="C38" i="13"/>
  <c r="F18" i="3" s="1"/>
  <c r="H18" i="3" s="1"/>
  <c r="C35" i="13" l="1"/>
  <c r="D83" i="13"/>
  <c r="D81" i="13"/>
  <c r="E81" i="13" s="1"/>
  <c r="F81" i="13" s="1"/>
  <c r="G81" i="13" s="1"/>
  <c r="H81" i="13" s="1"/>
  <c r="E83" i="13" l="1"/>
  <c r="E35" i="13" s="1"/>
  <c r="D38" i="13"/>
  <c r="F35" i="3" s="1"/>
  <c r="D35" i="13"/>
  <c r="H35" i="3" l="1"/>
  <c r="F83" i="13"/>
  <c r="E38" i="13"/>
  <c r="F53" i="3" s="1"/>
  <c r="H53" i="3" l="1"/>
  <c r="G83" i="13"/>
  <c r="F38" i="13"/>
  <c r="F75" i="3" s="1"/>
  <c r="F35" i="13"/>
  <c r="H75" i="3" l="1"/>
  <c r="H83" i="13"/>
  <c r="H35" i="13" s="1"/>
  <c r="G38" i="13"/>
  <c r="F97" i="3" s="1"/>
  <c r="G35" i="13"/>
  <c r="C23" i="7" l="1"/>
  <c r="D23" i="7"/>
  <c r="E5" i="7"/>
  <c r="E23" i="7" l="1"/>
  <c r="G23" i="7" s="1"/>
  <c r="F37" i="1" s="1"/>
  <c r="H37" i="1" l="1"/>
  <c r="E37" i="1"/>
  <c r="G37" i="1"/>
  <c r="I37" i="1"/>
  <c r="D37" i="1"/>
  <c r="D14" i="2"/>
  <c r="C14" i="2"/>
  <c r="H67" i="13" l="1"/>
  <c r="G67" i="13"/>
  <c r="F67" i="13"/>
  <c r="H45" i="13"/>
  <c r="G45" i="13"/>
  <c r="F45" i="13"/>
  <c r="E45" i="13"/>
  <c r="D45" i="13"/>
  <c r="C45" i="13"/>
  <c r="H38" i="13"/>
  <c r="E7" i="6" s="1"/>
  <c r="H33" i="13"/>
  <c r="G33" i="13"/>
  <c r="F96" i="3" s="1"/>
  <c r="F33" i="13"/>
  <c r="F74" i="3" s="1"/>
  <c r="H74" i="3" s="1"/>
  <c r="E33" i="13"/>
  <c r="F52" i="3" s="1"/>
  <c r="H52" i="3" s="1"/>
  <c r="D33" i="13"/>
  <c r="F34" i="3" s="1"/>
  <c r="H34" i="3" s="1"/>
  <c r="C33" i="13"/>
  <c r="F17" i="3" s="1"/>
  <c r="H17" i="3" s="1"/>
  <c r="H31" i="13"/>
  <c r="G31" i="13"/>
  <c r="F31" i="13"/>
  <c r="E31" i="13"/>
  <c r="D31" i="13"/>
  <c r="C31" i="13"/>
  <c r="D29" i="13"/>
  <c r="E29" i="13"/>
  <c r="F29" i="13"/>
  <c r="G29" i="13"/>
  <c r="H29" i="13"/>
  <c r="C29" i="13"/>
  <c r="C19" i="13"/>
  <c r="C14" i="13"/>
  <c r="G7" i="6" l="1"/>
  <c r="E10" i="3" l="1"/>
  <c r="E9" i="3"/>
  <c r="G95" i="3"/>
  <c r="G33" i="3"/>
  <c r="G4" i="3"/>
  <c r="F25" i="6"/>
  <c r="F24" i="6"/>
  <c r="F23" i="6"/>
  <c r="F22" i="6"/>
  <c r="F21" i="6"/>
  <c r="F20" i="6"/>
  <c r="F19" i="6"/>
  <c r="F18" i="6"/>
  <c r="F16" i="6"/>
  <c r="F15" i="6"/>
  <c r="F14" i="6"/>
  <c r="F17" i="6"/>
  <c r="F13" i="6"/>
  <c r="G13" i="6" s="1"/>
  <c r="F6" i="6"/>
  <c r="F5" i="6"/>
  <c r="D27" i="7"/>
  <c r="D26" i="7"/>
  <c r="D25" i="7"/>
  <c r="D24" i="7"/>
  <c r="D22" i="7"/>
  <c r="E11" i="7"/>
  <c r="E10" i="7"/>
  <c r="E9" i="7"/>
  <c r="E8" i="7"/>
  <c r="E7" i="7"/>
  <c r="E6" i="7"/>
  <c r="E4" i="7"/>
  <c r="F11" i="3" l="1"/>
  <c r="H11" i="3" l="1"/>
  <c r="F8" i="3"/>
  <c r="H8" i="3" s="1"/>
  <c r="F7" i="3"/>
  <c r="H7" i="3" s="1"/>
  <c r="F17" i="11" l="1"/>
  <c r="C17" i="14" s="1"/>
  <c r="F17" i="14" l="1"/>
  <c r="G17" i="14" s="1"/>
  <c r="H17" i="14" s="1"/>
  <c r="F60" i="3" l="1"/>
  <c r="D93" i="3"/>
  <c r="D115" i="3"/>
  <c r="C25" i="6"/>
  <c r="D71" i="3"/>
  <c r="H60" i="3" l="1"/>
  <c r="D70" i="3"/>
  <c r="D92" i="3"/>
  <c r="D114" i="3"/>
  <c r="C24" i="6"/>
  <c r="D24" i="6"/>
  <c r="D25" i="6"/>
  <c r="D22" i="6"/>
  <c r="D23" i="6"/>
  <c r="E10" i="6"/>
  <c r="F100" i="3"/>
  <c r="F78" i="3"/>
  <c r="F56" i="3"/>
  <c r="F38" i="3"/>
  <c r="F21" i="3"/>
  <c r="F4" i="11"/>
  <c r="F5" i="11"/>
  <c r="C5" i="14" s="1"/>
  <c r="F6" i="11"/>
  <c r="C6" i="14" s="1"/>
  <c r="F6" i="14" s="1"/>
  <c r="G6" i="14" s="1"/>
  <c r="H6" i="14" s="1"/>
  <c r="F7" i="11"/>
  <c r="C7" i="14" s="1"/>
  <c r="F7" i="14" s="1"/>
  <c r="G7" i="14" s="1"/>
  <c r="H7" i="14" s="1"/>
  <c r="F8" i="11"/>
  <c r="C8" i="14" s="1"/>
  <c r="F8" i="14" s="1"/>
  <c r="G8" i="14" s="1"/>
  <c r="H8" i="14" s="1"/>
  <c r="F9" i="11"/>
  <c r="C9" i="14" s="1"/>
  <c r="F9" i="14" s="1"/>
  <c r="G9" i="14" s="1"/>
  <c r="H9" i="14" s="1"/>
  <c r="F10" i="11"/>
  <c r="C10" i="14" s="1"/>
  <c r="F10" i="14" s="1"/>
  <c r="G10" i="14" s="1"/>
  <c r="H10" i="14" s="1"/>
  <c r="F11" i="11"/>
  <c r="C11" i="14" s="1"/>
  <c r="F11" i="14" s="1"/>
  <c r="G11" i="14" s="1"/>
  <c r="H11" i="14" s="1"/>
  <c r="F12" i="11"/>
  <c r="C12" i="14" s="1"/>
  <c r="F12" i="14" s="1"/>
  <c r="G12" i="14" s="1"/>
  <c r="H12" i="14" s="1"/>
  <c r="F13" i="11"/>
  <c r="C13" i="14" s="1"/>
  <c r="F13" i="14" s="1"/>
  <c r="G13" i="14" s="1"/>
  <c r="H13" i="14" s="1"/>
  <c r="F14" i="11"/>
  <c r="C14" i="14" s="1"/>
  <c r="F14" i="14" s="1"/>
  <c r="G14" i="14" s="1"/>
  <c r="H14" i="14" s="1"/>
  <c r="F15" i="11"/>
  <c r="C15" i="14" s="1"/>
  <c r="F15" i="14" s="1"/>
  <c r="G15" i="14" s="1"/>
  <c r="H15" i="14" s="1"/>
  <c r="F16" i="11"/>
  <c r="C16" i="14" s="1"/>
  <c r="F16" i="14" s="1"/>
  <c r="G16" i="14" s="1"/>
  <c r="H16" i="14" s="1"/>
  <c r="F18" i="11"/>
  <c r="C18" i="14" s="1"/>
  <c r="F19" i="11"/>
  <c r="C19" i="14" s="1"/>
  <c r="F19" i="14" s="1"/>
  <c r="G19" i="14" s="1"/>
  <c r="H19" i="14" s="1"/>
  <c r="E12" i="6"/>
  <c r="F76" i="3"/>
  <c r="H76" i="3" s="1"/>
  <c r="F73" i="3"/>
  <c r="F63" i="3"/>
  <c r="F40" i="3"/>
  <c r="F16" i="3"/>
  <c r="F14" i="3"/>
  <c r="F5" i="3"/>
  <c r="H5" i="3" s="1"/>
  <c r="F6" i="3"/>
  <c r="H6" i="3" s="1"/>
  <c r="D9" i="3"/>
  <c r="D10" i="3"/>
  <c r="F23" i="3"/>
  <c r="F19" i="3"/>
  <c r="H19" i="3" s="1"/>
  <c r="F20" i="3"/>
  <c r="H20" i="3" s="1"/>
  <c r="F28" i="3"/>
  <c r="F22" i="3"/>
  <c r="F27" i="3"/>
  <c r="C13" i="7"/>
  <c r="F5" i="7" s="1"/>
  <c r="G5" i="7" s="1"/>
  <c r="F12" i="3"/>
  <c r="H12" i="3" s="1"/>
  <c r="F13" i="3"/>
  <c r="H13" i="3" s="1"/>
  <c r="F15" i="3"/>
  <c r="F4" i="3"/>
  <c r="F29" i="3"/>
  <c r="F30" i="3"/>
  <c r="F31" i="3"/>
  <c r="F32" i="3"/>
  <c r="F45" i="3"/>
  <c r="F46" i="3"/>
  <c r="F47" i="3"/>
  <c r="F48" i="3"/>
  <c r="F33" i="3"/>
  <c r="F36" i="3"/>
  <c r="H36" i="3" s="1"/>
  <c r="F37" i="3"/>
  <c r="H37" i="3" s="1"/>
  <c r="F44" i="3"/>
  <c r="F39" i="3"/>
  <c r="F43" i="3"/>
  <c r="F64" i="3"/>
  <c r="F65" i="3"/>
  <c r="F66" i="3"/>
  <c r="F67" i="3"/>
  <c r="F51" i="3"/>
  <c r="F58" i="3"/>
  <c r="F54" i="3"/>
  <c r="H54" i="3" s="1"/>
  <c r="F55" i="3"/>
  <c r="H55" i="3" s="1"/>
  <c r="F57" i="3"/>
  <c r="D68" i="3"/>
  <c r="E68" i="3"/>
  <c r="D69" i="3"/>
  <c r="E69" i="3"/>
  <c r="E70" i="3"/>
  <c r="E115" i="3"/>
  <c r="E71" i="3"/>
  <c r="F62" i="3"/>
  <c r="F86" i="3"/>
  <c r="F87" i="3"/>
  <c r="F88" i="3"/>
  <c r="F89" i="3"/>
  <c r="F77" i="3"/>
  <c r="H77" i="3" s="1"/>
  <c r="F80" i="3"/>
  <c r="F82" i="3"/>
  <c r="F85" i="3"/>
  <c r="F79" i="3"/>
  <c r="D90" i="3"/>
  <c r="E90" i="3"/>
  <c r="D91" i="3"/>
  <c r="E91" i="3"/>
  <c r="E92" i="3"/>
  <c r="E93" i="3"/>
  <c r="F84" i="3"/>
  <c r="G5" i="1"/>
  <c r="F108" i="3"/>
  <c r="F109" i="3"/>
  <c r="F110" i="3"/>
  <c r="F111" i="3"/>
  <c r="F95" i="3"/>
  <c r="H95" i="3" s="1"/>
  <c r="F102" i="3"/>
  <c r="F98" i="3"/>
  <c r="F99" i="3"/>
  <c r="F104" i="3"/>
  <c r="F107" i="3"/>
  <c r="F101" i="3"/>
  <c r="D112" i="3"/>
  <c r="E112" i="3"/>
  <c r="D113" i="3"/>
  <c r="E113" i="3"/>
  <c r="E114" i="3"/>
  <c r="F106" i="3"/>
  <c r="H5" i="1"/>
  <c r="C6" i="8"/>
  <c r="E18" i="6"/>
  <c r="E19" i="6"/>
  <c r="E20" i="6"/>
  <c r="E21" i="6"/>
  <c r="C22" i="6"/>
  <c r="C23" i="6"/>
  <c r="E5" i="6"/>
  <c r="E6" i="6"/>
  <c r="E8" i="6"/>
  <c r="G8" i="6" s="1"/>
  <c r="E9" i="6"/>
  <c r="G9" i="6" s="1"/>
  <c r="E14" i="6"/>
  <c r="E17" i="6"/>
  <c r="E11" i="6"/>
  <c r="E16" i="6"/>
  <c r="C21" i="9"/>
  <c r="C22" i="9"/>
  <c r="I5" i="1"/>
  <c r="G10" i="6" l="1"/>
  <c r="G14" i="6"/>
  <c r="G20" i="6"/>
  <c r="G12" i="6"/>
  <c r="G21" i="6"/>
  <c r="G19" i="6"/>
  <c r="G6" i="6"/>
  <c r="G18" i="6"/>
  <c r="G5" i="6"/>
  <c r="G16" i="6"/>
  <c r="G11" i="6"/>
  <c r="G17" i="6"/>
  <c r="H84" i="3"/>
  <c r="H82" i="3"/>
  <c r="H80" i="3"/>
  <c r="H85" i="3"/>
  <c r="H73" i="3"/>
  <c r="H87" i="3"/>
  <c r="H86" i="3"/>
  <c r="H89" i="3"/>
  <c r="H88" i="3"/>
  <c r="H79" i="3"/>
  <c r="H78" i="3"/>
  <c r="H63" i="3"/>
  <c r="H51" i="3"/>
  <c r="H65" i="3"/>
  <c r="H64" i="3"/>
  <c r="H58" i="3"/>
  <c r="H67" i="3"/>
  <c r="H56" i="3"/>
  <c r="H57" i="3"/>
  <c r="H62" i="3"/>
  <c r="H66" i="3"/>
  <c r="H46" i="3"/>
  <c r="H40" i="3"/>
  <c r="H44" i="3"/>
  <c r="H33" i="3"/>
  <c r="H45" i="3"/>
  <c r="H48" i="3"/>
  <c r="H43" i="3"/>
  <c r="H39" i="3"/>
  <c r="H47" i="3"/>
  <c r="H38" i="3"/>
  <c r="H28" i="3"/>
  <c r="H29" i="3"/>
  <c r="H4" i="3"/>
  <c r="H15" i="3"/>
  <c r="C9" i="2" s="1"/>
  <c r="H22" i="3"/>
  <c r="H32" i="3"/>
  <c r="H31" i="3"/>
  <c r="H23" i="3"/>
  <c r="H14" i="3"/>
  <c r="C8" i="2" s="1"/>
  <c r="H30" i="3"/>
  <c r="H21" i="3"/>
  <c r="H16" i="3"/>
  <c r="H27" i="3"/>
  <c r="H7" i="1"/>
  <c r="E14" i="2"/>
  <c r="G7" i="1"/>
  <c r="I7" i="1"/>
  <c r="I44" i="1"/>
  <c r="E44" i="1"/>
  <c r="H44" i="1"/>
  <c r="D44" i="1"/>
  <c r="G44" i="1"/>
  <c r="F44" i="1"/>
  <c r="C8" i="16"/>
  <c r="E15" i="6"/>
  <c r="F90" i="3"/>
  <c r="C4" i="14"/>
  <c r="F4" i="14" s="1"/>
  <c r="F20" i="11"/>
  <c r="C7" i="7" s="1"/>
  <c r="E23" i="6"/>
  <c r="E24" i="6"/>
  <c r="F93" i="3"/>
  <c r="E22" i="6"/>
  <c r="C5" i="2"/>
  <c r="F18" i="14"/>
  <c r="G18" i="14" s="1"/>
  <c r="H18" i="14" s="1"/>
  <c r="F5" i="14"/>
  <c r="G5" i="14" s="1"/>
  <c r="H5" i="14" s="1"/>
  <c r="F112" i="3"/>
  <c r="F114" i="3"/>
  <c r="F69" i="3"/>
  <c r="F68" i="3"/>
  <c r="F9" i="3"/>
  <c r="H9" i="3" s="1"/>
  <c r="F113" i="3"/>
  <c r="F71" i="3"/>
  <c r="H71" i="3" s="1"/>
  <c r="F115" i="3"/>
  <c r="F92" i="3"/>
  <c r="F70" i="3"/>
  <c r="F91" i="3"/>
  <c r="F10" i="3"/>
  <c r="H10" i="3" s="1"/>
  <c r="G24" i="6" l="1"/>
  <c r="G22" i="6"/>
  <c r="G23" i="6"/>
  <c r="G15" i="6"/>
  <c r="H91" i="3"/>
  <c r="H92" i="3"/>
  <c r="H90" i="3"/>
  <c r="H93" i="3"/>
  <c r="H68" i="3"/>
  <c r="H70" i="3"/>
  <c r="H69" i="3"/>
  <c r="D33" i="1"/>
  <c r="C4" i="2"/>
  <c r="I33" i="1"/>
  <c r="F33" i="1"/>
  <c r="H33" i="1"/>
  <c r="G33" i="1"/>
  <c r="E33" i="1"/>
  <c r="H14" i="2"/>
  <c r="F14" i="2"/>
  <c r="G14" i="2"/>
  <c r="F83" i="3"/>
  <c r="F61" i="3"/>
  <c r="F42" i="3"/>
  <c r="F105" i="3"/>
  <c r="F26" i="3"/>
  <c r="F20" i="14"/>
  <c r="D7" i="7" s="1"/>
  <c r="F7" i="7" s="1"/>
  <c r="G7" i="7" s="1"/>
  <c r="D46" i="1" s="1"/>
  <c r="C9" i="7"/>
  <c r="F9" i="7" s="1"/>
  <c r="G9" i="7" s="1"/>
  <c r="C8" i="7"/>
  <c r="C24" i="7" s="1"/>
  <c r="E24" i="7" s="1"/>
  <c r="G24" i="7" s="1"/>
  <c r="G4" i="14"/>
  <c r="C20" i="14"/>
  <c r="C27" i="7"/>
  <c r="E27" i="7" s="1"/>
  <c r="G27" i="7" s="1"/>
  <c r="C6" i="7"/>
  <c r="F6" i="7" s="1"/>
  <c r="G6" i="7" s="1"/>
  <c r="D45" i="1" s="1"/>
  <c r="E25" i="6"/>
  <c r="G20" i="14" l="1"/>
  <c r="H4" i="14"/>
  <c r="G25" i="6"/>
  <c r="H83" i="3"/>
  <c r="H61" i="3"/>
  <c r="H42" i="3"/>
  <c r="H26" i="3"/>
  <c r="F26" i="1"/>
  <c r="F27" i="1" s="1"/>
  <c r="F28" i="1" s="1"/>
  <c r="F42" i="1"/>
  <c r="E42" i="1"/>
  <c r="D42" i="1"/>
  <c r="I26" i="1"/>
  <c r="I27" i="1" s="1"/>
  <c r="I28" i="1" s="1"/>
  <c r="I34" i="1" s="1"/>
  <c r="C22" i="7"/>
  <c r="E22" i="7" s="1"/>
  <c r="G22" i="7" s="1"/>
  <c r="F36" i="1" s="1"/>
  <c r="H20" i="14"/>
  <c r="G28" i="7" s="1"/>
  <c r="F11" i="7"/>
  <c r="G11" i="7" s="1"/>
  <c r="C25" i="7"/>
  <c r="E25" i="7" s="1"/>
  <c r="G25" i="7" s="1"/>
  <c r="D40" i="1" s="1"/>
  <c r="H46" i="1"/>
  <c r="F46" i="1"/>
  <c r="E46" i="1"/>
  <c r="G46" i="1"/>
  <c r="I46" i="1"/>
  <c r="G26" i="1"/>
  <c r="G27" i="1" s="1"/>
  <c r="G28" i="1" s="1"/>
  <c r="G34" i="1" s="1"/>
  <c r="H26" i="1"/>
  <c r="H27" i="1" s="1"/>
  <c r="H28" i="1" s="1"/>
  <c r="H34" i="1" s="1"/>
  <c r="E26" i="1"/>
  <c r="E27" i="1" s="1"/>
  <c r="E28" i="1" s="1"/>
  <c r="E34" i="1" s="1"/>
  <c r="F8" i="7"/>
  <c r="G8" i="7" s="1"/>
  <c r="H47" i="1" s="1"/>
  <c r="F45" i="1"/>
  <c r="C10" i="7"/>
  <c r="D26" i="1"/>
  <c r="D27" i="1" s="1"/>
  <c r="E45" i="1"/>
  <c r="G45" i="1"/>
  <c r="I45" i="1"/>
  <c r="H45" i="1"/>
  <c r="E48" i="1"/>
  <c r="G48" i="1"/>
  <c r="D48" i="1"/>
  <c r="H48" i="1"/>
  <c r="F48" i="1"/>
  <c r="I48" i="1"/>
  <c r="I42" i="1"/>
  <c r="G42" i="1"/>
  <c r="H42" i="1"/>
  <c r="H39" i="1"/>
  <c r="I39" i="1"/>
  <c r="D39" i="1"/>
  <c r="G39" i="1"/>
  <c r="F39" i="1"/>
  <c r="E39" i="1"/>
  <c r="F50" i="1" l="1"/>
  <c r="E50" i="1"/>
  <c r="D50" i="1"/>
  <c r="G35" i="1"/>
  <c r="E35" i="1"/>
  <c r="I35" i="1"/>
  <c r="C5" i="16"/>
  <c r="F29" i="1"/>
  <c r="F34" i="1"/>
  <c r="G29" i="1"/>
  <c r="E29" i="1"/>
  <c r="H29" i="1"/>
  <c r="I29" i="1"/>
  <c r="F4" i="7"/>
  <c r="G4" i="7" s="1"/>
  <c r="G43" i="1" s="1"/>
  <c r="E11" i="2"/>
  <c r="E12" i="2" s="1"/>
  <c r="E36" i="1"/>
  <c r="H36" i="1"/>
  <c r="G36" i="1"/>
  <c r="D36" i="1"/>
  <c r="I36" i="1"/>
  <c r="H11" i="2"/>
  <c r="H12" i="2" s="1"/>
  <c r="C4" i="16"/>
  <c r="D4" i="16" s="1"/>
  <c r="E4" i="16" s="1"/>
  <c r="F11" i="2"/>
  <c r="F12" i="2" s="1"/>
  <c r="D11" i="2"/>
  <c r="D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c r="F43" i="1" l="1"/>
  <c r="F35" i="1"/>
  <c r="D29" i="1"/>
  <c r="D34" i="1"/>
  <c r="D43" i="1"/>
  <c r="I43" i="1"/>
  <c r="H43" i="1"/>
  <c r="E43" i="1"/>
  <c r="C11" i="2"/>
  <c r="C12" i="2" s="1"/>
  <c r="F16" i="2"/>
  <c r="D5" i="16"/>
  <c r="E5" i="16" s="1"/>
  <c r="G16" i="2"/>
  <c r="D16" i="2"/>
  <c r="E16" i="2"/>
  <c r="H16" i="2"/>
  <c r="I49" i="1"/>
  <c r="G49" i="1"/>
  <c r="F49" i="1"/>
  <c r="E49" i="1"/>
  <c r="D49" i="1"/>
  <c r="H49" i="1"/>
  <c r="I41" i="1"/>
  <c r="I55" i="1" s="1"/>
  <c r="H41" i="1"/>
  <c r="H55" i="1" s="1"/>
  <c r="G41" i="1"/>
  <c r="G55" i="1" s="1"/>
  <c r="D41" i="1"/>
  <c r="F41" i="1"/>
  <c r="F55" i="1" s="1"/>
  <c r="E41" i="1"/>
  <c r="E55" i="1" s="1"/>
  <c r="D35" i="1" l="1"/>
  <c r="D55" i="1"/>
  <c r="D54" i="1"/>
  <c r="D56" i="1" s="1"/>
  <c r="D57" i="1" s="1"/>
  <c r="D59" i="1" s="1"/>
  <c r="E51" i="1" s="1"/>
  <c r="C6" i="16"/>
  <c r="D6" i="16" s="1"/>
  <c r="E6" i="16" s="1"/>
  <c r="C16" i="2"/>
  <c r="D58" i="1" l="1"/>
  <c r="E54" i="1"/>
  <c r="E56" i="1" l="1"/>
  <c r="E57" i="1" s="1"/>
  <c r="E58" i="1" l="1"/>
  <c r="E59" i="1"/>
  <c r="F51" i="1" s="1"/>
  <c r="F54" i="1" s="1"/>
  <c r="F56" i="1" s="1"/>
  <c r="F57" i="1" s="1"/>
  <c r="F58" i="1" s="1"/>
  <c r="F59" i="1" l="1"/>
  <c r="G51" i="1" s="1"/>
  <c r="G54" i="1" s="1"/>
  <c r="G56" i="1" l="1"/>
  <c r="G57" i="1" s="1"/>
  <c r="G58" i="1" l="1"/>
  <c r="G59" i="1"/>
  <c r="H51" i="1" s="1"/>
  <c r="H54" i="1" s="1"/>
  <c r="H56" i="1" l="1"/>
  <c r="H57" i="1" s="1"/>
  <c r="H59" i="1" s="1"/>
  <c r="C4" i="8" s="1"/>
  <c r="C8" i="8" s="1"/>
  <c r="H58" i="1" l="1"/>
  <c r="I53" i="1"/>
  <c r="C7" i="16" s="1"/>
  <c r="D7" i="16" s="1"/>
  <c r="E7" i="16" s="1"/>
  <c r="I54" i="1" l="1"/>
  <c r="I56" i="1" s="1"/>
  <c r="E6" i="9" l="1"/>
  <c r="F6" i="9"/>
  <c r="G6" i="9"/>
  <c r="H6" i="9"/>
  <c r="I6" i="9"/>
  <c r="D7" i="9"/>
  <c r="E7" i="9"/>
  <c r="F7" i="9"/>
  <c r="G7" i="9"/>
  <c r="H7" i="9"/>
  <c r="I7" i="9"/>
  <c r="D6" i="9"/>
  <c r="H4" i="9"/>
  <c r="G9" i="9"/>
  <c r="H5" i="9"/>
  <c r="G5" i="9"/>
  <c r="H8" i="9"/>
  <c r="G10" i="9"/>
  <c r="G8" i="9"/>
  <c r="H9" i="9"/>
  <c r="I5" i="9"/>
  <c r="H10" i="9"/>
  <c r="I4" i="9"/>
  <c r="I8" i="9"/>
  <c r="I9" i="9"/>
  <c r="I10" i="9"/>
  <c r="G4" i="9"/>
  <c r="I57" i="1"/>
  <c r="I58" i="1" s="1"/>
  <c r="D10" i="9"/>
  <c r="F10" i="9"/>
  <c r="E5" i="9"/>
  <c r="F5" i="9"/>
  <c r="F9" i="9"/>
  <c r="D4" i="9"/>
  <c r="D5" i="9"/>
  <c r="D9" i="9"/>
  <c r="E9" i="9"/>
  <c r="E4" i="9"/>
  <c r="D8" i="9"/>
  <c r="F4" i="9"/>
  <c r="E10" i="9"/>
  <c r="E8" i="9"/>
  <c r="F8" i="9"/>
</calcChain>
</file>

<file path=xl/sharedStrings.xml><?xml version="1.0" encoding="utf-8"?>
<sst xmlns="http://schemas.openxmlformats.org/spreadsheetml/2006/main" count="866" uniqueCount="493">
  <si>
    <t xml:space="preserve"> Year 1</t>
  </si>
  <si>
    <t>Year 2</t>
  </si>
  <si>
    <t>Year 3</t>
  </si>
  <si>
    <t>Year 4</t>
  </si>
  <si>
    <t>Trellis System</t>
  </si>
  <si>
    <t>Irrigation System</t>
  </si>
  <si>
    <t>Mainline &amp; Pump</t>
  </si>
  <si>
    <t>Pond</t>
  </si>
  <si>
    <t>Depreciation</t>
  </si>
  <si>
    <t>Trellis</t>
  </si>
  <si>
    <t>Beehives</t>
  </si>
  <si>
    <t>Interest</t>
  </si>
  <si>
    <t>Irrigation/Electric Charge</t>
  </si>
  <si>
    <t>Land</t>
  </si>
  <si>
    <t>Picking Labor</t>
  </si>
  <si>
    <t>Management Cost</t>
  </si>
  <si>
    <t>Total Fixed Costs</t>
  </si>
  <si>
    <t>ESTIMATED NET RETURNS</t>
  </si>
  <si>
    <t>Total Variable Costs</t>
  </si>
  <si>
    <t>Accumulated Establishment Costs</t>
  </si>
  <si>
    <t>Wind Machine</t>
  </si>
  <si>
    <t>Year 5</t>
  </si>
  <si>
    <t>Year 1</t>
  </si>
  <si>
    <t>Units per Acre</t>
  </si>
  <si>
    <t>Number of Acres</t>
  </si>
  <si>
    <t>4 wheeler</t>
  </si>
  <si>
    <t>Cost per Unit ($)</t>
  </si>
  <si>
    <t>Cost per Acre ($)</t>
  </si>
  <si>
    <t>Total Cost for Block ($)</t>
  </si>
  <si>
    <t>Interest Rate</t>
  </si>
  <si>
    <t>Total Purchase Price ($)</t>
  </si>
  <si>
    <t>Total Interest Cost ($)</t>
  </si>
  <si>
    <t>Total Value Per Acre ($)</t>
  </si>
  <si>
    <t>Soil Preparation</t>
  </si>
  <si>
    <t>Dollar amount to be amortized</t>
  </si>
  <si>
    <t>Amortized Amount Per Year</t>
  </si>
  <si>
    <t>Total Cost</t>
  </si>
  <si>
    <t>Architecture</t>
  </si>
  <si>
    <t>1.</t>
  </si>
  <si>
    <t>2.</t>
  </si>
  <si>
    <t>3.</t>
  </si>
  <si>
    <t>4.</t>
  </si>
  <si>
    <t>5.</t>
  </si>
  <si>
    <t>Speed sprayer</t>
  </si>
  <si>
    <t>Weed spray boom &amp; tank</t>
  </si>
  <si>
    <t>Fork lift</t>
  </si>
  <si>
    <t>Bin trailer</t>
  </si>
  <si>
    <t>6.</t>
  </si>
  <si>
    <t>Number of Units</t>
  </si>
  <si>
    <t>Tractor-70HP, 4WD</t>
  </si>
  <si>
    <t>Tractor-40HP, 4WD</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</si>
  <si>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</si>
  <si>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</si>
  <si>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</si>
  <si>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</si>
  <si>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Hauling Apples</t>
  </si>
  <si>
    <t>Insurance (all farm)</t>
  </si>
  <si>
    <t>Fuel &amp; Lube</t>
  </si>
  <si>
    <t>Ladder-8'</t>
  </si>
  <si>
    <t>Mainline and Pump</t>
  </si>
  <si>
    <t>Trees (including labor)</t>
  </si>
  <si>
    <t>Establishment Costs (5%)</t>
  </si>
  <si>
    <t>Packing Costs (per bin)</t>
  </si>
  <si>
    <t>Total</t>
  </si>
  <si>
    <t>Overhead cost</t>
  </si>
  <si>
    <t>Interest cost</t>
  </si>
  <si>
    <t>Soil prep</t>
  </si>
  <si>
    <t>Trees</t>
  </si>
  <si>
    <t>Maintenance &amp; Repairs</t>
  </si>
  <si>
    <t>Irrigation/electric charge</t>
  </si>
  <si>
    <t>Management Overhead</t>
  </si>
  <si>
    <t>Cost per bee hive</t>
  </si>
  <si>
    <t>Number of bee hives per acre</t>
  </si>
  <si>
    <t>Cost of hauling, per bin</t>
  </si>
  <si>
    <t>Interest rate</t>
  </si>
  <si>
    <t>Establishment interest rate</t>
  </si>
  <si>
    <t>No. of years to borrow operating capital</t>
  </si>
  <si>
    <t>Total acres in block</t>
  </si>
  <si>
    <t>Total productive acres</t>
  </si>
  <si>
    <t>Planted trees per acre</t>
  </si>
  <si>
    <t>Total orchard acres</t>
  </si>
  <si>
    <t>Irrigation installation</t>
  </si>
  <si>
    <t>Cost of fertilizer - material</t>
  </si>
  <si>
    <t>Irrigation</t>
  </si>
  <si>
    <t>Fertilizer after Soil Prep</t>
  </si>
  <si>
    <t>Hours of irrigation labor</t>
  </si>
  <si>
    <t>Pruning and training</t>
  </si>
  <si>
    <t>Hours of frost protection (labor)</t>
  </si>
  <si>
    <t>Harvest per bin</t>
  </si>
  <si>
    <t>Packing Cost</t>
  </si>
  <si>
    <t>10.</t>
  </si>
  <si>
    <t>Cost of labor per hour</t>
  </si>
  <si>
    <t>Tree cost per unit</t>
  </si>
  <si>
    <t xml:space="preserve">Irrigation </t>
  </si>
  <si>
    <t>Beehive</t>
  </si>
  <si>
    <t>Wind machine</t>
  </si>
  <si>
    <t>Flail mower</t>
  </si>
  <si>
    <t>Hours of training</t>
  </si>
  <si>
    <t>Hours of pruning</t>
  </si>
  <si>
    <t>Hours of wind machine installation</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</si>
  <si>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</si>
  <si>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 xml:space="preserve">Hours to plant a tree </t>
  </si>
  <si>
    <t xml:space="preserve">Overhead </t>
  </si>
  <si>
    <t>Trellis (total cost)</t>
  </si>
  <si>
    <t>Laterals, sprinklers, sub-lines</t>
  </si>
  <si>
    <t>Installation labor</t>
  </si>
  <si>
    <t>Total Requirements ($)</t>
  </si>
  <si>
    <t>Receipts ($)</t>
  </si>
  <si>
    <t>Net Requirements ($)</t>
  </si>
  <si>
    <t>Tree density per acre</t>
  </si>
  <si>
    <t>Pick-up</t>
  </si>
  <si>
    <t>Miscellaneous supplies (lump sum)</t>
  </si>
  <si>
    <t>Miscellaneous Supplies</t>
  </si>
  <si>
    <t>Mainline</t>
  </si>
  <si>
    <t>Pumps (irrigation and frost), centrifugal</t>
  </si>
  <si>
    <t>Total Cost ($)</t>
  </si>
  <si>
    <t>Pack-out percentage</t>
  </si>
  <si>
    <t xml:space="preserve">Wind Machine </t>
  </si>
  <si>
    <t>Notes:</t>
  </si>
  <si>
    <t>The pond is installed in Year 1.</t>
  </si>
  <si>
    <t>Trellis system</t>
  </si>
  <si>
    <t>11.</t>
  </si>
  <si>
    <t>Notes</t>
  </si>
  <si>
    <t>Soil sample (custom)</t>
  </si>
  <si>
    <t>Fumigation (custom)</t>
  </si>
  <si>
    <t>Mainline, pump &amp; pond</t>
  </si>
  <si>
    <t>Irrigation system</t>
  </si>
  <si>
    <t>Wind machine &amp; alarm system</t>
  </si>
  <si>
    <t>Machinery repair (lump sum)</t>
  </si>
  <si>
    <t xml:space="preserve">All other labor. Excludes pruning, training, thinning, chemical &amp; fertilizer application, planting, irrigation labor, harvest. </t>
  </si>
  <si>
    <t>Other</t>
  </si>
  <si>
    <t xml:space="preserve">Average rate from transporting fruit from the orchard to the warehouse. </t>
  </si>
  <si>
    <t xml:space="preserve">Notes: </t>
  </si>
  <si>
    <t>Maintenance &amp; Repair</t>
  </si>
  <si>
    <t>Water</t>
  </si>
  <si>
    <t>Years of Useful Life</t>
  </si>
  <si>
    <t>Fuel and lube (lump sum including propane for wind machine)</t>
  </si>
  <si>
    <t>Irrigation Water</t>
  </si>
  <si>
    <t>Irrigation Water &amp; Electric Charge</t>
  </si>
  <si>
    <t>Including all fertilizer</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</si>
  <si>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</si>
  <si>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Year 6 to 20 (Full Production)</t>
  </si>
  <si>
    <t>N/A</t>
  </si>
  <si>
    <t>Housing for manager</t>
  </si>
  <si>
    <t>Total packing charges per bin</t>
  </si>
  <si>
    <t>Receiving charge per bin</t>
  </si>
  <si>
    <t>Crop yield</t>
  </si>
  <si>
    <t>12.</t>
  </si>
  <si>
    <t>Mower-rotary (7 ft)</t>
  </si>
  <si>
    <t>Other Labor (checkers, tractor drivers, supervisors)</t>
  </si>
  <si>
    <t>Rootstock</t>
  </si>
  <si>
    <t>In-row Spacing</t>
  </si>
  <si>
    <t>Life of Planting</t>
  </si>
  <si>
    <t>Tree Density</t>
  </si>
  <si>
    <t>Machinery, Equipment, &amp; Building</t>
  </si>
  <si>
    <t>Housing for Manager</t>
  </si>
  <si>
    <t>Speed Sprayer</t>
  </si>
  <si>
    <t>Weed Spray Boom &amp; Tank</t>
  </si>
  <si>
    <t>Flail Mower</t>
  </si>
  <si>
    <t>Fork Lift</t>
  </si>
  <si>
    <t>Bin Trailer</t>
  </si>
  <si>
    <t>Between-row Spacing</t>
  </si>
  <si>
    <r>
      <t>Frost Protection (labor)</t>
    </r>
    <r>
      <rPr>
        <vertAlign val="superscript"/>
        <sz val="11"/>
        <rFont val="Times New Roman"/>
        <family val="1"/>
      </rPr>
      <t>E</t>
    </r>
  </si>
  <si>
    <t xml:space="preserve">A. Includes amortized establishment costs. Net return is what the grower receives after all costs (for example, production expenses and packing costs) have been accounted. </t>
  </si>
  <si>
    <r>
      <t>Net Yield (bins/acre)</t>
    </r>
    <r>
      <rPr>
        <b/>
        <vertAlign val="superscript"/>
        <sz val="11"/>
        <rFont val="Times New Roman"/>
        <family val="1"/>
      </rPr>
      <t>B</t>
    </r>
  </si>
  <si>
    <r>
      <t>Operating Expenses</t>
    </r>
    <r>
      <rPr>
        <vertAlign val="superscript"/>
        <sz val="11"/>
        <rFont val="Times New Roman"/>
        <family val="1"/>
      </rPr>
      <t>B</t>
    </r>
  </si>
  <si>
    <t>B. Operating expenses is the sum of the total variable costs, miscellaneous supplies, land and property taxes, insurance cost, and management cost.</t>
  </si>
  <si>
    <r>
      <t>Purchase Price ($)</t>
    </r>
    <r>
      <rPr>
        <b/>
        <vertAlign val="superscript"/>
        <sz val="11"/>
        <rFont val="Times New Roman"/>
        <family val="1"/>
      </rPr>
      <t>A</t>
    </r>
  </si>
  <si>
    <t>A. Purchase price corresponds to new machinery, equipment or building.</t>
  </si>
  <si>
    <r>
      <t>Machine Shop/Shed</t>
    </r>
    <r>
      <rPr>
        <vertAlign val="superscript"/>
        <sz val="11"/>
        <color theme="9" tint="-0.249977111117893"/>
        <rFont val="Times New Roman"/>
        <family val="1"/>
      </rPr>
      <t>B</t>
    </r>
  </si>
  <si>
    <t>4-Wheeler</t>
  </si>
  <si>
    <t>Pickup Truck</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</si>
  <si>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</si>
  <si>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</si>
  <si>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</si>
  <si>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</si>
  <si>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</si>
  <si>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r>
      <t>Irrigation System</t>
    </r>
    <r>
      <rPr>
        <vertAlign val="superscript"/>
        <sz val="11"/>
        <rFont val="Times New Roman"/>
        <family val="1"/>
      </rPr>
      <t>C</t>
    </r>
  </si>
  <si>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</si>
  <si>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</si>
  <si>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</si>
  <si>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</si>
  <si>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</si>
  <si>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r>
      <t>Salvage Value ($)</t>
    </r>
    <r>
      <rPr>
        <b/>
        <vertAlign val="superscript"/>
        <sz val="11"/>
        <color indexed="8"/>
        <rFont val="Times New Roman"/>
        <family val="1"/>
      </rPr>
      <t>A</t>
    </r>
  </si>
  <si>
    <r>
      <t>Interest Cost Per Acre ($)</t>
    </r>
    <r>
      <rPr>
        <b/>
        <vertAlign val="superscript"/>
        <sz val="11"/>
        <color indexed="8"/>
        <rFont val="Times New Roman"/>
        <family val="1"/>
      </rPr>
      <t>B</t>
    </r>
  </si>
  <si>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</si>
  <si>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</si>
  <si>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D. Total area of the farm operation is 300 acres and the machinery, equipment, and building are used in the entire, diverse cultivar farm. Thus, the corresponding interest costs are divided by the total area (300 acres) to derive the interest cost per acre.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</si>
  <si>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</si>
  <si>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</si>
  <si>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</si>
  <si>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r>
      <t>Number of years</t>
    </r>
    <r>
      <rPr>
        <vertAlign val="superscript"/>
        <sz val="11"/>
        <color indexed="8"/>
        <rFont val="Times New Roman"/>
        <family val="1"/>
      </rPr>
      <t>A</t>
    </r>
  </si>
  <si>
    <t xml:space="preserve">A. Total life of planting - establishment years </t>
  </si>
  <si>
    <r>
      <t>Machine shop/shed</t>
    </r>
    <r>
      <rPr>
        <vertAlign val="superscript"/>
        <sz val="11"/>
        <rFont val="Times New Roman"/>
        <family val="1"/>
      </rPr>
      <t>A</t>
    </r>
  </si>
  <si>
    <r>
      <t>Miscellaneous equipment</t>
    </r>
    <r>
      <rPr>
        <vertAlign val="superscript"/>
        <sz val="11"/>
        <rFont val="Times New Roman"/>
        <family val="1"/>
      </rPr>
      <t>B</t>
    </r>
  </si>
  <si>
    <r>
      <t>Shop equipment</t>
    </r>
    <r>
      <rPr>
        <vertAlign val="superscript"/>
        <sz val="11"/>
        <rFont val="Times New Roman"/>
        <family val="1"/>
      </rPr>
      <t>C</t>
    </r>
  </si>
  <si>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</si>
  <si>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</si>
  <si>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</si>
  <si>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</si>
  <si>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</si>
  <si>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</si>
  <si>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</si>
  <si>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r>
      <t>Expected useful life (years)</t>
    </r>
    <r>
      <rPr>
        <b/>
        <vertAlign val="superscript"/>
        <sz val="11"/>
        <rFont val="Times New Roman"/>
        <family val="1"/>
      </rPr>
      <t>E</t>
    </r>
  </si>
  <si>
    <r>
      <t>Annual Depreciation Cost ($)</t>
    </r>
    <r>
      <rPr>
        <b/>
        <vertAlign val="superscript"/>
        <sz val="11"/>
        <rFont val="Times New Roman"/>
        <family val="1"/>
      </rPr>
      <t>G</t>
    </r>
  </si>
  <si>
    <r>
      <t>Salvage Value ($)</t>
    </r>
    <r>
      <rPr>
        <b/>
        <vertAlign val="superscript"/>
        <sz val="11"/>
        <rFont val="Times New Roman"/>
        <family val="1"/>
      </rPr>
      <t>F</t>
    </r>
  </si>
  <si>
    <r>
      <t>Pruning and Training (labor)</t>
    </r>
    <r>
      <rPr>
        <vertAlign val="superscript"/>
        <sz val="11"/>
        <rFont val="Times New Roman"/>
        <family val="1"/>
      </rPr>
      <t>C</t>
    </r>
  </si>
  <si>
    <t>A. Includes land for roads and buildings.</t>
  </si>
  <si>
    <r>
      <t>Pruning and Training (labor)</t>
    </r>
    <r>
      <rPr>
        <vertAlign val="superscript"/>
        <sz val="11"/>
        <rFont val="Times New Roman"/>
        <family val="1"/>
      </rPr>
      <t>A</t>
    </r>
  </si>
  <si>
    <t>D. Includes all types of fertilizer used.</t>
  </si>
  <si>
    <t>Productive Block Size</t>
  </si>
  <si>
    <t>Rip and disk ground (custom)</t>
  </si>
  <si>
    <t>Fertilizer - material cost</t>
  </si>
  <si>
    <t>Fertilizer - labor hour</t>
  </si>
  <si>
    <t>Fertilizer - labor cost</t>
  </si>
  <si>
    <t>Pond and filters with liners (purchase and installation)</t>
  </si>
  <si>
    <t>Cost of picking labor, manual, per bin</t>
  </si>
  <si>
    <t>Cost of checking,tractor drivers and supervisors, manual, per bin</t>
  </si>
  <si>
    <t>Platforms</t>
  </si>
  <si>
    <t>Sunburn protection</t>
  </si>
  <si>
    <t>Hours of chemical thinning</t>
  </si>
  <si>
    <t>Miscellaneous labor (lump sum) - General labor</t>
  </si>
  <si>
    <t>Hours of fertilizer application</t>
  </si>
  <si>
    <r>
      <t>Annual Depreciation Cost per Acre ($)</t>
    </r>
    <r>
      <rPr>
        <b/>
        <vertAlign val="superscript"/>
        <sz val="11"/>
        <color theme="1"/>
        <rFont val="Times New Roman"/>
        <family val="1"/>
      </rPr>
      <t>H</t>
    </r>
  </si>
  <si>
    <t>H. Depreciation cost is divided by total farm acreage (300 acres) in order to derive the per acre cost.</t>
  </si>
  <si>
    <r>
      <t>Pond and filters with liners (custom)</t>
    </r>
    <r>
      <rPr>
        <vertAlign val="superscript"/>
        <sz val="11"/>
        <rFont val="Times New Roman"/>
        <family val="1"/>
      </rPr>
      <t>B</t>
    </r>
  </si>
  <si>
    <t>Labor rate</t>
  </si>
  <si>
    <t>Maintenance and repair start in Year 4</t>
  </si>
  <si>
    <t>Packout number of boxes per bin</t>
  </si>
  <si>
    <t>Total packing charges per bin is the sum of receiving charges (or "in charge") per bin and total box charges per bin.</t>
  </si>
  <si>
    <t>Cost ($/acre)</t>
  </si>
  <si>
    <t>D</t>
  </si>
  <si>
    <t>E</t>
  </si>
  <si>
    <t>G</t>
  </si>
  <si>
    <t>Net Yield (bin/acre) =</t>
  </si>
  <si>
    <t xml:space="preserve">B. Costs assume a lined pond.  </t>
  </si>
  <si>
    <t>Hours of hand thinning labor</t>
  </si>
  <si>
    <t>Chemicals</t>
  </si>
  <si>
    <t>Cost chemicals, materials</t>
  </si>
  <si>
    <t>Hours of chemical application</t>
  </si>
  <si>
    <t>13.</t>
  </si>
  <si>
    <t>14.</t>
  </si>
  <si>
    <t>15.</t>
  </si>
  <si>
    <t>With liners for water conservation</t>
  </si>
  <si>
    <t>Wind Machine (cost of units per acre) installed in Year 3</t>
  </si>
  <si>
    <t>Number of pounds per bin</t>
  </si>
  <si>
    <t>Charges per box</t>
  </si>
  <si>
    <t>Tree removal (custom)</t>
  </si>
  <si>
    <t>Thinning</t>
  </si>
  <si>
    <r>
      <t>Thinning (labor)</t>
    </r>
    <r>
      <rPr>
        <vertAlign val="superscript"/>
        <sz val="11"/>
        <rFont val="Times New Roman"/>
        <family val="1"/>
      </rPr>
      <t>D</t>
    </r>
  </si>
  <si>
    <t>D. Hand thinning and chemical thinning labor cost.</t>
  </si>
  <si>
    <r>
      <t>Chemicals</t>
    </r>
    <r>
      <rPr>
        <vertAlign val="superscript"/>
        <sz val="11"/>
        <rFont val="Times New Roman"/>
        <family val="1"/>
      </rPr>
      <t>E</t>
    </r>
  </si>
  <si>
    <t>E. Includes the costs of materials and labor.</t>
  </si>
  <si>
    <t>F. Includes all types of fertilizer used.</t>
  </si>
  <si>
    <r>
      <t>Frost Protection (labor)</t>
    </r>
    <r>
      <rPr>
        <vertAlign val="superscript"/>
        <sz val="11"/>
        <rFont val="Times New Roman"/>
        <family val="1"/>
      </rPr>
      <t>G</t>
    </r>
  </si>
  <si>
    <r>
      <t>Thinning (labor)</t>
    </r>
    <r>
      <rPr>
        <vertAlign val="superscript"/>
        <sz val="11"/>
        <rFont val="Times New Roman"/>
        <family val="1"/>
      </rPr>
      <t>B</t>
    </r>
  </si>
  <si>
    <t>B. Hand thinning and chemical thinning labor cost.</t>
  </si>
  <si>
    <r>
      <t>Chemicals</t>
    </r>
    <r>
      <rPr>
        <vertAlign val="superscript"/>
        <sz val="11"/>
        <rFont val="Times New Roman"/>
        <family val="1"/>
      </rPr>
      <t>C</t>
    </r>
  </si>
  <si>
    <t>C. Includes the costs of materials and labor.</t>
  </si>
  <si>
    <r>
      <t>General Farm Labor</t>
    </r>
    <r>
      <rPr>
        <vertAlign val="superscript"/>
        <sz val="11"/>
        <rFont val="Times New Roman"/>
        <family val="1"/>
      </rPr>
      <t>I</t>
    </r>
  </si>
  <si>
    <r>
      <t>Gross Yield (bins/acre)</t>
    </r>
    <r>
      <rPr>
        <b/>
        <vertAlign val="superscript"/>
        <sz val="11"/>
        <rFont val="Times New Roman"/>
        <family val="1"/>
      </rPr>
      <t>B</t>
    </r>
  </si>
  <si>
    <t xml:space="preserve">FOB price </t>
  </si>
  <si>
    <t>FOB packinghouse door price ($/bin)</t>
  </si>
  <si>
    <t>FOB packinghouse door price ($/40-lb box)</t>
  </si>
  <si>
    <t>20 years</t>
  </si>
  <si>
    <t>The area of the total farm operation is 300 acres of mixed conventional tree fruits. Bearing acres include: 225 acres of apples (75% of total area); 48 acres of sweet cherries (16%), and 27 acres of pears (9%).</t>
  </si>
  <si>
    <t>Insurance (crop and all farm)</t>
  </si>
  <si>
    <t>Insurance (crop and farm)</t>
  </si>
  <si>
    <t>Insurance Cost (crop and farm)</t>
  </si>
  <si>
    <t>Netting</t>
  </si>
  <si>
    <t>Deployment and roll back</t>
  </si>
  <si>
    <r>
      <t>Sunburn Protection - Netting</t>
    </r>
    <r>
      <rPr>
        <vertAlign val="superscript"/>
        <sz val="11"/>
        <rFont val="Times New Roman"/>
        <family val="1"/>
      </rPr>
      <t>C</t>
    </r>
  </si>
  <si>
    <t>Sunburn Protection - Netting</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</si>
  <si>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</si>
  <si>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Manual ($/hour)</t>
  </si>
  <si>
    <t>Fertilizer application, frost protection labor</t>
  </si>
  <si>
    <t>Chemical application, irrigation labor</t>
  </si>
  <si>
    <t>Description</t>
  </si>
  <si>
    <t>70HP, 4WD</t>
  </si>
  <si>
    <t>40HP, 4WD</t>
  </si>
  <si>
    <t>2WD</t>
  </si>
  <si>
    <t>7 ft</t>
  </si>
  <si>
    <t>8 ft</t>
  </si>
  <si>
    <t>Mower-Rotary</t>
  </si>
  <si>
    <t>Full size</t>
  </si>
  <si>
    <t>Ladder</t>
  </si>
  <si>
    <t>A. Hand labor rate is $23.75/hour and includes applicable taxes and benefits. Applied to pruning, training and weed control.</t>
  </si>
  <si>
    <t>F. Chemical application labor and irrigation labor are $27.79/hour, including applicable taxes and benefits.</t>
  </si>
  <si>
    <t>E. Tractor/machinery or higher skilled labor rate is $24.75/hour and includes applicable taxes and benefits. This rate is also applied to fertilizer labor application (after soil preparation) and frost protection labor.</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</si>
  <si>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</si>
  <si>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</si>
  <si>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</si>
  <si>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</si>
  <si>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Management Overhead</t>
    </r>
    <r>
      <rPr>
        <vertAlign val="superscript"/>
        <sz val="11"/>
        <rFont val="Times New Roman"/>
        <family val="1"/>
      </rPr>
      <t>J</t>
    </r>
  </si>
  <si>
    <r>
      <t>Fuel &amp; Lube</t>
    </r>
    <r>
      <rPr>
        <vertAlign val="superscript"/>
        <sz val="11"/>
        <rFont val="Times New Roman"/>
        <family val="1"/>
      </rPr>
      <t>H</t>
    </r>
  </si>
  <si>
    <r>
      <t>Maintenance &amp; Repair</t>
    </r>
    <r>
      <rPr>
        <vertAlign val="superscript"/>
        <sz val="11"/>
        <rFont val="Times New Roman"/>
        <family val="1"/>
      </rPr>
      <t>G</t>
    </r>
  </si>
  <si>
    <r>
      <t>Irrigation Labor</t>
    </r>
    <r>
      <rPr>
        <vertAlign val="superscript"/>
        <sz val="11"/>
        <rFont val="Times New Roman"/>
        <family val="1"/>
      </rPr>
      <t>F</t>
    </r>
  </si>
  <si>
    <t>C. Hand labor rate is $23.75/hour and includes applicable taxes and benefits. Applied to pruning, training and weed control.</t>
  </si>
  <si>
    <t>G. Tractor/machinery or higher skilled labor rate is $24.75/hour and includes applicable taxes and benefits. This rate is applied to fertilizer labor application (after soil preparation) and frost protection labor.</t>
  </si>
  <si>
    <t>Gross Production per acre (lbs)</t>
  </si>
  <si>
    <t>Gross Production per acre (bins)</t>
  </si>
  <si>
    <t>2 feet</t>
  </si>
  <si>
    <t>G-41</t>
  </si>
  <si>
    <t>Train each level branches straight down to the wire</t>
  </si>
  <si>
    <t>By R. Karina Gallardo, Suzette P. Galinato and Bernardita Sallato</t>
  </si>
  <si>
    <t>Gross Production per acre (tons)</t>
  </si>
  <si>
    <t>Land cost (value of land with water rights)</t>
  </si>
  <si>
    <t>Includes removal, wood chipping, and incorporating in the soil.</t>
  </si>
  <si>
    <t>Considers overhead cooling with micro sprinklers.</t>
  </si>
  <si>
    <t>Base = $19.25/hour, plus H2A fixed cost = $4.50/hour</t>
  </si>
  <si>
    <t>Additional $1/hour to base rate of manual labor, plus H2A fixed cost</t>
  </si>
  <si>
    <t>Additional $1/hour to base rate of manual labor, plus H2A fixed cost, plus overtime (15% of $20.25/hour).</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</si>
  <si>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</si>
  <si>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Total Fixed Cash Cost</t>
  </si>
  <si>
    <t>Total Cash Costs</t>
  </si>
  <si>
    <t>Return over Cash Costs</t>
  </si>
  <si>
    <t>Total Fixed Non-Cash Costs</t>
  </si>
  <si>
    <t>TOTAL RETURNS ($/acre)</t>
  </si>
  <si>
    <t>Return over Cash Costs and Depreciation</t>
  </si>
  <si>
    <t>The total value of bare agricultural land (including senior water rights) is $20,000 per acre with annual property taxes of $200 per acre.</t>
  </si>
  <si>
    <r>
      <t>Irrigation Labor</t>
    </r>
    <r>
      <rPr>
        <vertAlign val="superscript"/>
        <sz val="11"/>
        <rFont val="Times New Roman"/>
        <family val="1"/>
      </rPr>
      <t>I</t>
    </r>
  </si>
  <si>
    <r>
      <t>Wind Machine (unit and installation labor)</t>
    </r>
    <r>
      <rPr>
        <vertAlign val="superscript"/>
        <sz val="11"/>
        <rFont val="Times New Roman"/>
        <family val="1"/>
      </rPr>
      <t>J</t>
    </r>
  </si>
  <si>
    <r>
      <t>Maintenance &amp; Repair</t>
    </r>
    <r>
      <rPr>
        <vertAlign val="superscript"/>
        <sz val="11"/>
        <rFont val="Times New Roman"/>
        <family val="1"/>
      </rPr>
      <t>K</t>
    </r>
  </si>
  <si>
    <r>
      <t>Fuel &amp; Lube</t>
    </r>
    <r>
      <rPr>
        <vertAlign val="superscript"/>
        <sz val="11"/>
        <rFont val="Times New Roman"/>
        <family val="1"/>
      </rPr>
      <t>L</t>
    </r>
  </si>
  <si>
    <r>
      <t>General Farm Labor</t>
    </r>
    <r>
      <rPr>
        <vertAlign val="superscript"/>
        <sz val="11"/>
        <rFont val="Times New Roman"/>
        <family val="1"/>
      </rPr>
      <t>M</t>
    </r>
  </si>
  <si>
    <r>
      <t>Management Overhead</t>
    </r>
    <r>
      <rPr>
        <vertAlign val="superscript"/>
        <sz val="11"/>
        <rFont val="Times New Roman"/>
        <family val="1"/>
      </rPr>
      <t>N</t>
    </r>
  </si>
  <si>
    <r>
      <t>Irrigation LaborI</t>
    </r>
    <r>
      <rPr>
        <vertAlign val="superscript"/>
        <sz val="11"/>
        <rFont val="Times New Roman"/>
        <family val="1"/>
      </rPr>
      <t>I</t>
    </r>
  </si>
  <si>
    <t>H. There is no labor from Years 1 to 2 because fertilizer application is all done through fertigation.</t>
  </si>
  <si>
    <t>I. Chemical application labor and irrigation labor are $27.79/hour, including applicable taxes and benefits.</t>
  </si>
  <si>
    <t>J. Wind machine installation labor is $20.25/hour and includes applicable taxes and benefits.</t>
  </si>
  <si>
    <t>K. Includes maintenance and repairs of mainline, pump and pond; irrigation system; trellis system; wind machine and alarm system and machinery.</t>
  </si>
  <si>
    <t>L. Fuel and lube cost includes propane cost for wind machine starting Year 3.</t>
  </si>
  <si>
    <t>M.  Refers to miscellaneous or all other labor (lump sum). Rate includes applicable taxes and benefits.</t>
  </si>
  <si>
    <t>N. Includes management salary, cellphone, gas, etc.</t>
  </si>
  <si>
    <t xml:space="preserve">Base = $30/bin plus paid rest and overtime. </t>
  </si>
  <si>
    <t>Includes Geneva tree royalty to rootstock; 1/2 caliper</t>
  </si>
  <si>
    <t>No labor during Years 1-2 because fertilizer application is done through fertigation.</t>
  </si>
  <si>
    <t>Average pack-out for Granny is 80%.</t>
  </si>
  <si>
    <t>The Granny block specifications are as follows:</t>
  </si>
  <si>
    <t xml:space="preserve">Warehouse packing charges assume a 875-lb bin. </t>
  </si>
  <si>
    <t>Machinery, equipment, and building requirements are utilized in growing diverse crops in the 300-acre farm, which include Granny Smith apples. The costs of fixed capital are allocated on the entire farm operation.</t>
  </si>
  <si>
    <t>Land (29 acres)</t>
  </si>
  <si>
    <t>Bin size is 875 lb.</t>
  </si>
  <si>
    <t>B. Assumes an 875-lb bin. Considers an average pack-out of:</t>
  </si>
  <si>
    <t>This budget is based on a 29-acre Granny Smith block within a 300-acre orchard. It is assumed that 1 acres of this block is dedicated to roads, pond, loading area, buildings, etc., rather than to fruit production. Therefore, the total productive area for this block is 28 acres.</t>
  </si>
  <si>
    <t>The information in this publication serves as a general guide for a modern and well-managed Granny Smith orchard as of 2024. To avoid unwarranted conclusions for any particular operation, closely examine the assumptions used. If they are not appropriate for your situation, adjust the costs and/or returns as appropriate.</t>
  </si>
  <si>
    <t xml:space="preserve">28 acres </t>
  </si>
  <si>
    <t>Based on an 875-lb bin</t>
  </si>
  <si>
    <t>Considering the value of land where there had been fruit trees. The trees are removed to plant the Granny Smith block.</t>
  </si>
  <si>
    <t>No hand thinning.</t>
  </si>
  <si>
    <t>No chemical thinning.</t>
  </si>
  <si>
    <t>Price before any expenses (including packing charges) are subtracted. Based on the 5-year average FOB price between 2019 and 2024.</t>
  </si>
  <si>
    <t xml:space="preserve">All chemicals (fungicide, fireblight prevention, disease prevention, insecticide, herbicide. </t>
  </si>
  <si>
    <t>All foliar and ground fertilizer.</t>
  </si>
  <si>
    <t>The gross return is $26 per 40-lb box or $455 per 875-lb bin.</t>
  </si>
  <si>
    <t>Shaded area denotes positive net returns based on the combination of net yield and price.</t>
  </si>
  <si>
    <t>Price per unit = $40,000; 1 unit per 10 acres</t>
  </si>
  <si>
    <t xml:space="preserve">Depends heavily on the weather/season/location/could be anywhere from 0.4 to 25 hours. Use the lowest number in the range. </t>
  </si>
  <si>
    <r>
      <t xml:space="preserve">Values in </t>
    </r>
    <r>
      <rPr>
        <sz val="10"/>
        <color theme="9" tint="-0.249977111117893"/>
        <rFont val="Times New Roman"/>
        <family val="1"/>
      </rPr>
      <t>orange</t>
    </r>
    <r>
      <rPr>
        <sz val="10"/>
        <rFont val="Times New Roman"/>
        <family val="1"/>
      </rPr>
      <t xml:space="preserve"> can be modified. Values in black are calculations.</t>
    </r>
  </si>
  <si>
    <t>B</t>
  </si>
  <si>
    <t>F. Interest costs include some actual cash interest payments.</t>
  </si>
  <si>
    <t xml:space="preserve">B. If the return is below this level, Granny Smith apples are uneconomical to produce. </t>
  </si>
  <si>
    <t>Number of 40-lb boxes per bin =</t>
  </si>
  <si>
    <t>12 feet</t>
  </si>
  <si>
    <t>1,185 trees per acre</t>
  </si>
  <si>
    <t>The irrigation system consists of under-tree double drip lines and a sprinkler system for under-tree cover crop or overhead cooling, with two separate sub-main lines. Water is provided through a public irrigation district.</t>
  </si>
  <si>
    <t xml:space="preserve">Management salary is valued at $750 per acre. </t>
  </si>
  <si>
    <t>Angled V (30 degrees from the vertical line, with 7 wires per side; top wire is 11.5 feet off the ground, metal post every 30 ft)</t>
  </si>
  <si>
    <r>
      <t xml:space="preserve">A. Break-even return is calculated as </t>
    </r>
    <r>
      <rPr>
        <b/>
        <sz val="10"/>
        <color rgb="FF000000"/>
        <rFont val="Times New Roman"/>
        <family val="1"/>
      </rPr>
      <t>cost divided by net yield</t>
    </r>
    <r>
      <rPr>
        <sz val="10"/>
        <color indexed="8"/>
        <rFont val="Times New Roman"/>
        <family val="1"/>
      </rPr>
      <t xml:space="preserve"> during full production. The break-even return per 40-lb box is calculated as the per bin value divided by 17.5. All variables in this equation are held constant, except for the “Cost,” which takes the Total Variable Costs, Total Cash Costs, Total Cash Costs + Depreciation Costs, or Total Costs, depending on the level of enterprise cost that the break-even return is being calculated.</t>
    </r>
  </si>
  <si>
    <t>C. If there are other cash costs on an individual's orchard, these costs must be identified and included in the cash cost break-even return calculation.</t>
  </si>
  <si>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</si>
  <si>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</si>
  <si>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</si>
  <si>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t>2024 Cost and Return Estimates of Establishing, Producing and Packing Granny Smith Apples on Angled V Trellis System in Washington</t>
  </si>
  <si>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</si>
  <si>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</si>
  <si>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</si>
  <si>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</si>
  <si>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</si>
  <si>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</si>
  <si>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</si>
  <si>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</si>
  <si>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</si>
  <si>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</si>
  <si>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</si>
  <si>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</si>
  <si>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</si>
  <si>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A. Estimated net production considers an average pack-out of 80% or 17.5 boxes/bin.</t>
  </si>
  <si>
    <t>B. These are packinghouse door prices. They reflect the return before any expenses are subtracted. Bin size is 875 lb. Both the per-bin price and per-40-lb box price are provided for convenience, but the per-bin price is used to calculate the Total Returns.</t>
  </si>
  <si>
    <t>C. Hand labor rate is $23.75/hour and includes all applicable taxes and benefits.</t>
  </si>
  <si>
    <t>E. Includes materials and labor.</t>
  </si>
  <si>
    <t xml:space="preserve">F. Tractor/machinery labor for chemical application and irrigation is $27.79 per hour. Labor for fertilizer application and frost protection is $24.75/hour and includes all applicable taxes and benefits. </t>
  </si>
  <si>
    <t>H. General farm labor rate is a lump sum per acre and applied to miscellaneous/all other labor. The rate includes applicable taxes and benefits.</t>
  </si>
  <si>
    <t>I. Picking rate = $37/bin; Checkers &amp; tractor drivers' rate = $11/bin; Hauling rate = $11/bin (hauling refers to transportation cost from the orchard to the warehouse. It is assumed that the warehouse will cover additional transportation expenses (if any) when the orchard is located in remote areas.</t>
  </si>
  <si>
    <t>J. Packing charges include receiving charges per bin plus total box charges per bin. Pack-out number of boxes per bin is 17.5.</t>
  </si>
  <si>
    <t>K. Captures indirect costs of operations in the orchard that fluctuate with the level of production but are not accounted by the variable costs already identified. Also captures unforeseeable expenses.</t>
  </si>
  <si>
    <t>L. Interest expense on full year during establishment years and for 3/4 of a year during full production.</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</si>
  <si>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</si>
  <si>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</si>
  <si>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r>
      <t>Estimated FOB Price</t>
    </r>
    <r>
      <rPr>
        <vertAlign val="superscript"/>
        <sz val="11"/>
        <rFont val="Times New Roman"/>
        <family val="1"/>
      </rPr>
      <t>B</t>
    </r>
    <r>
      <rPr>
        <sz val="11"/>
        <rFont val="Times New Roman"/>
        <family val="1"/>
      </rPr>
      <t xml:space="preserve"> in $/bin</t>
    </r>
  </si>
  <si>
    <r>
      <t>Estimated FOB Price</t>
    </r>
    <r>
      <rPr>
        <vertAlign val="superscript"/>
        <sz val="11"/>
        <rFont val="Times New Roman"/>
        <family val="1"/>
      </rPr>
      <t>B</t>
    </r>
    <r>
      <rPr>
        <sz val="11"/>
        <rFont val="Times New Roman"/>
        <family val="1"/>
      </rPr>
      <t xml:space="preserve"> in $/40-lb box</t>
    </r>
  </si>
  <si>
    <t>Years 6 to 20 (Full Production, Annual Average)</t>
  </si>
  <si>
    <t>D. There is neither hand thinning nor chemical thinning for Granny Smith.</t>
  </si>
  <si>
    <t>G. A reflective ground cloth for sunburn protection is not used for Granny Smith.</t>
  </si>
  <si>
    <t>The main data source for the calculations is Appendix 5 (Data for tables). Changing the orange-colored values in Appendix Table 9, as well as in other worksheets (Mach Etc Req., Int&amp;Dep, Salv Value &amp; Dep Calc, and Amort Calc) will automatically change the values in the remaining worksheets, including the summary table, "Granny Smith-Angled V Budget".</t>
  </si>
  <si>
    <t>Block Specification</t>
  </si>
  <si>
    <t>Table 1.1. Granny Smith block specifications.</t>
  </si>
  <si>
    <t>Return or Cost</t>
  </si>
  <si>
    <t>Description or Activity</t>
  </si>
  <si>
    <t>Yield</t>
  </si>
  <si>
    <t>Price</t>
  </si>
  <si>
    <t xml:space="preserve">Return  </t>
  </si>
  <si>
    <t>Variable cost</t>
  </si>
  <si>
    <t xml:space="preserve">Sum of all variable costs  </t>
  </si>
  <si>
    <t>Return</t>
  </si>
  <si>
    <t>Returns over Variable Costs</t>
  </si>
  <si>
    <t>Fixed cash cost</t>
  </si>
  <si>
    <t>Sum of fixed cash costs</t>
  </si>
  <si>
    <t>Sum of all variable costs and fixed cash costs</t>
  </si>
  <si>
    <r>
      <t>Sunburn Protection</t>
    </r>
    <r>
      <rPr>
        <sz val="11"/>
        <rFont val="Calibri"/>
        <family val="2"/>
      </rPr>
      <t>—</t>
    </r>
    <r>
      <rPr>
        <sz val="11"/>
        <rFont val="Times New Roman"/>
        <family val="1"/>
      </rPr>
      <t>Netting</t>
    </r>
  </si>
  <si>
    <t>Other fixed cost</t>
  </si>
  <si>
    <t>Sum of depreciation, interest and other fixed costs</t>
  </si>
  <si>
    <t>Sum of fixed cash and non-cash costs</t>
  </si>
  <si>
    <t>Sum of all costs</t>
  </si>
  <si>
    <t>TOTAL PRODUCTION COSTS</t>
  </si>
  <si>
    <t>Total returns minus total production costs</t>
  </si>
  <si>
    <t>Establishment cost</t>
  </si>
  <si>
    <t>Net returns at $350/bin</t>
  </si>
  <si>
    <t>Net returns at $420/bin</t>
  </si>
  <si>
    <t>Net returns at $455/bin</t>
  </si>
  <si>
    <t>Net returns at $595/bin</t>
  </si>
  <si>
    <t>Net returns at $695/bin</t>
  </si>
  <si>
    <t>Net returns at $795/bin</t>
  </si>
  <si>
    <t>There are 17.5 40-lb boxes per bin. The equivalent free on board (FOB) price per 40-lb box from left to right are: 20, 24, 26, 34, 40 and 45, respectively.</t>
  </si>
  <si>
    <t>FOB price, $/bin 1</t>
  </si>
  <si>
    <t>FOB price, $/bin 2</t>
  </si>
  <si>
    <t>FOB price, $/bin 3</t>
  </si>
  <si>
    <t>FOB price, $/bin 4</t>
  </si>
  <si>
    <t>FOB price, $/bin 5</t>
  </si>
  <si>
    <t>FOB price, $/bin 6</t>
  </si>
  <si>
    <t>From left to right, the first four FOB prices are the minimum, median, average, and maximum annual FOB prices of Granny Smith between 2019 and 2024 (Source: WSTFA). The last two FOB prices are assumed scenarios of $100 and $200 higher than the maximum.  Both prices in terms of bin ans 40-lb box are provided for convenience, but the price per bin is used to calculate the net returns.</t>
  </si>
  <si>
    <t>1. Total Variable Costs</t>
  </si>
  <si>
    <r>
      <t>2. Total Cash Costs</t>
    </r>
    <r>
      <rPr>
        <vertAlign val="superscript"/>
        <sz val="11"/>
        <rFont val="Times New Roman"/>
        <family val="1"/>
      </rPr>
      <t>C</t>
    </r>
  </si>
  <si>
    <t>3. Total Cash Costs + Depreciation Costs</t>
  </si>
  <si>
    <r>
      <t>4. Total Cost</t>
    </r>
    <r>
      <rPr>
        <vertAlign val="superscript"/>
        <sz val="11"/>
        <rFont val="Times New Roman"/>
        <family val="1"/>
      </rPr>
      <t>F</t>
    </r>
  </si>
  <si>
    <t>Levels of Enterprise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</si>
  <si>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</si>
  <si>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</si>
  <si>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t>Appendix Table 1. Summary of annual capital requirements for a 28-acre Granny Smith block on angled V trellis system.</t>
  </si>
  <si>
    <t>Requirements and Receipts</t>
  </si>
  <si>
    <t>Appendix Table 2. Machinery, equipment, and building requirements for a 300-acre diverse cultivar orchard.</t>
  </si>
  <si>
    <t>Requirements</t>
  </si>
  <si>
    <t>Appendix Table 3. Annual interest costs per acre for a 28-acre Granny Smith block on angled V trellis system.</t>
  </si>
  <si>
    <t xml:space="preserve">Capital Requirements </t>
  </si>
  <si>
    <t>C. The irrigation system, netting for sunburn protection, mainline and pump, pond, trellis system and wind machine are used for the direct production of  the fruit. Hence, their respective interest costs are divided by the production area (28 acres) to get the interest cost per acre.</t>
  </si>
  <si>
    <t>E. See Appendix Table 7 for a detailed calculation of the salvage value of the machinery, equipment and building.</t>
  </si>
  <si>
    <t>Appendix Table 4. Annual depreciation costs per acre for a 28-acre Granny Smith block on angled V trellis system.</t>
  </si>
  <si>
    <t xml:space="preserve">B. See Appendix Table 7 for calculation of the depreciation cost of the machinery, equipment and building. </t>
  </si>
  <si>
    <t>-</t>
  </si>
  <si>
    <t>Appendix Table 5. Data on costs during establishment years for a 28-acre Granny Smith block on angled V trellis system.</t>
  </si>
  <si>
    <t xml:space="preserve">Year  </t>
  </si>
  <si>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</si>
  <si>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</si>
  <si>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</si>
  <si>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</si>
  <si>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</si>
  <si>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full sized trees (5/8" or better)</t>
  </si>
  <si>
    <t>Trees: planting per tree (labor and tractor)</t>
  </si>
  <si>
    <t>Irrigation: laterals, sprinklers, sub-lines</t>
  </si>
  <si>
    <t>Irrigation: installation labor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</si>
  <si>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</si>
  <si>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</si>
  <si>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Sunburn Protection—Netting, materials</t>
  </si>
  <si>
    <t>Sunburn Protection—Netting (deploy and pull back), labor</t>
  </si>
  <si>
    <t>Harvest Costs (per bin): picking (multiple picks)</t>
  </si>
  <si>
    <t>Harvest Costs (per bin): checkers, tractor drivers and supervisors</t>
  </si>
  <si>
    <t>Harvest Costs (per bin): hauling</t>
  </si>
  <si>
    <t>Appendix Table 6. Data on costs during a full production year for a 28-acre Granny Smith block on angled V trellis system.</t>
  </si>
  <si>
    <t>Sunburn Protection—Netting (deploy and pull back)</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</si>
  <si>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</si>
  <si>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</si>
  <si>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</si>
  <si>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</si>
  <si>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</si>
  <si>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</si>
  <si>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Appendix Table 8. Amortization calculator.</t>
  </si>
  <si>
    <t>Variable</t>
  </si>
  <si>
    <t>Value</t>
  </si>
  <si>
    <t>Appendix Table 9. Assumptions for establishing, producing, and packing Granny Smith apples on angled V trellis system (per acre basis).</t>
  </si>
  <si>
    <t>Variables</t>
  </si>
  <si>
    <t>Table 1.2. Cost and returns per acre of establishing, producing and packing Granny Smith on angled V trellis system in a 28-acre orchard block.</t>
  </si>
  <si>
    <r>
      <t>Table 1.3. Estimated net returns</t>
    </r>
    <r>
      <rPr>
        <b/>
        <vertAlign val="superscript"/>
        <sz val="14"/>
        <rFont val="Times New Roman"/>
        <family val="1"/>
      </rPr>
      <t>A</t>
    </r>
    <r>
      <rPr>
        <b/>
        <sz val="14"/>
        <rFont val="Times New Roman"/>
        <family val="1"/>
      </rPr>
      <t xml:space="preserve"> per acre at various prices and yields of Granny Smith during full production on angled V trellis system.</t>
    </r>
  </si>
  <si>
    <t>Table 1.4.  Break-even return for different levels of enterprise costs during full production of Granny Smith apples on angled V trellis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</si>
</sst>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0.0"/>
    <numFmt numFmtId="169" formatCode="&quot;$&quot;#,##0"/>
    <numFmt numFmtId="170" formatCode="#,##0;[Red]\ \ \-\ #,##0\ ;&quot;-&quot;"/>
    <numFmt numFmtId="171" formatCode="#,##0.00;[Red]\ \ \-\ #,##0.00\ ;&quot;-&quot;"/>
  </numFmts>
  <fonts count="47"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53"/>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u/>
      <sz val="10"/>
      <color indexed="8"/>
      <name val="Times New Roman"/>
      <family val="1"/>
    </font>
    <font>
      <b/>
      <sz val="10"/>
      <color rgb="FF000000"/>
      <name val="Times New Roman"/>
      <family val="1"/>
    </font>
    <font>
      <b/>
      <sz val="11"/>
      <color rgb="FFC00000"/>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bottom style="thin">
        <color auto="1"/>
      </bottom>
      <diagonal/>
    </border>
    <border>
      <left/>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indexed="64"/>
      </top>
      <bottom style="thin">
        <color indexed="64"/>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30">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14" fillId="2" borderId="1" xfId="0" applyFont="1" applyFill="1" applyBorder="1"/>
    <xf numFmtId="0" fontId="6" fillId="2" borderId="0" xfId="0" applyFont="1" applyFill="1"/>
    <xf numFmtId="0" fontId="4" fillId="2" borderId="0" xfId="0" applyFont="1" applyFill="1"/>
    <xf numFmtId="0" fontId="14" fillId="2" borderId="0" xfId="0" quotePrefix="1" applyFont="1" applyFill="1"/>
    <xf numFmtId="4" fontId="14" fillId="2" borderId="0" xfId="0" applyNumberFormat="1" applyFont="1" applyFill="1" applyAlignment="1">
      <alignment horizontal="right" indent="1"/>
    </xf>
    <xf numFmtId="0" fontId="13" fillId="3" borderId="0" xfId="0" applyFont="1" applyFill="1"/>
    <xf numFmtId="0" fontId="14" fillId="3" borderId="0" xfId="0" applyFont="1" applyFill="1" applyAlignment="1">
      <alignment horizontal="center"/>
    </xf>
    <xf numFmtId="0" fontId="7" fillId="3" borderId="0" xfId="0" applyFont="1" applyFill="1"/>
    <xf numFmtId="0" fontId="14" fillId="3" borderId="0" xfId="0" applyFont="1" applyFill="1"/>
    <xf numFmtId="4" fontId="7" fillId="3" borderId="0" xfId="0" applyNumberFormat="1" applyFont="1" applyFill="1" applyAlignment="1">
      <alignment horizontal="right" vertical="center" indent="2"/>
    </xf>
    <xf numFmtId="0" fontId="11" fillId="3" borderId="0" xfId="0" applyFont="1" applyFill="1"/>
    <xf numFmtId="4" fontId="7" fillId="3" borderId="0" xfId="0" applyNumberFormat="1" applyFont="1" applyFill="1" applyAlignment="1" applyProtection="1">
      <alignment horizontal="right" vertical="center" indent="2"/>
      <protection locked="0"/>
    </xf>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0" fontId="23" fillId="3" borderId="0" xfId="0" applyFont="1" applyFill="1"/>
    <xf numFmtId="0" fontId="27" fillId="3" borderId="0" xfId="0" applyFont="1" applyFill="1"/>
    <xf numFmtId="4" fontId="14" fillId="3" borderId="0" xfId="0" applyNumberFormat="1" applyFont="1" applyFill="1" applyAlignment="1">
      <alignment horizontal="right" vertical="center" indent="2"/>
    </xf>
    <xf numFmtId="3" fontId="7" fillId="3" borderId="0" xfId="0" applyNumberFormat="1" applyFont="1" applyFill="1" applyAlignment="1">
      <alignment horizontal="right" vertical="center" indent="4"/>
    </xf>
    <xf numFmtId="4" fontId="15" fillId="3" borderId="0" xfId="0" applyNumberFormat="1" applyFont="1" applyFill="1" applyAlignment="1">
      <alignment horizontal="right" vertical="center" indent="2"/>
    </xf>
    <xf numFmtId="4" fontId="16" fillId="3" borderId="0" xfId="0" applyNumberFormat="1" applyFont="1" applyFill="1" applyAlignment="1">
      <alignment horizontal="right" vertical="center" indent="2"/>
    </xf>
    <xf numFmtId="3" fontId="16"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3" fontId="7" fillId="3" borderId="0" xfId="0" applyNumberFormat="1" applyFont="1" applyFill="1" applyAlignment="1" applyProtection="1">
      <alignment horizontal="center" vertical="center"/>
      <protection locked="0"/>
    </xf>
    <xf numFmtId="167" fontId="7" fillId="2" borderId="0" xfId="0" applyNumberFormat="1" applyFont="1" applyFill="1" applyAlignment="1">
      <alignment horizontal="right" indent="1"/>
    </xf>
    <xf numFmtId="167" fontId="14" fillId="2" borderId="1" xfId="0" applyNumberFormat="1" applyFont="1" applyFill="1" applyBorder="1" applyAlignment="1">
      <alignment horizontal="right" indent="1"/>
    </xf>
    <xf numFmtId="0" fontId="7" fillId="0" borderId="0" xfId="0" applyFont="1"/>
    <xf numFmtId="0" fontId="7" fillId="2" borderId="0" xfId="0" applyFont="1" applyFill="1" applyAlignment="1">
      <alignment horizontal="left"/>
    </xf>
    <xf numFmtId="3" fontId="7" fillId="2" borderId="4" xfId="0" applyNumberFormat="1" applyFont="1" applyFill="1" applyBorder="1" applyAlignment="1">
      <alignment horizontal="right" vertical="center" indent="3"/>
    </xf>
    <xf numFmtId="3" fontId="25" fillId="2" borderId="0" xfId="0" applyNumberFormat="1" applyFont="1" applyFill="1" applyAlignment="1" applyProtection="1">
      <alignment horizontal="right" vertical="center" indent="3"/>
      <protection locked="0"/>
    </xf>
    <xf numFmtId="3" fontId="25" fillId="2" borderId="0" xfId="0" applyNumberFormat="1" applyFont="1" applyFill="1" applyAlignment="1" applyProtection="1">
      <alignment horizontal="center" vertical="center"/>
      <protection locked="0"/>
    </xf>
    <xf numFmtId="4" fontId="25" fillId="2" borderId="0" xfId="0" applyNumberFormat="1" applyFont="1" applyFill="1" applyAlignment="1" applyProtection="1">
      <alignment horizontal="right" indent="1"/>
      <protection locked="0"/>
    </xf>
    <xf numFmtId="0" fontId="35" fillId="3" borderId="0" xfId="0" applyFont="1" applyFill="1"/>
    <xf numFmtId="0" fontId="37" fillId="3" borderId="0" xfId="0" applyFont="1" applyFill="1"/>
    <xf numFmtId="0" fontId="8" fillId="3" borderId="0" xfId="0" applyFont="1" applyFill="1"/>
    <xf numFmtId="0" fontId="8" fillId="3" borderId="0" xfId="0" applyFont="1" applyFill="1" applyAlignment="1">
      <alignment wrapText="1"/>
    </xf>
    <xf numFmtId="0" fontId="7" fillId="3" borderId="0" xfId="0" applyFont="1" applyFill="1" applyAlignment="1">
      <alignment horizontal="center"/>
    </xf>
    <xf numFmtId="4" fontId="7" fillId="3" borderId="0" xfId="0" applyNumberFormat="1" applyFont="1" applyFill="1"/>
    <xf numFmtId="0" fontId="23" fillId="3" borderId="11" xfId="0" applyFont="1" applyFill="1" applyBorder="1" applyAlignment="1">
      <alignment horizontal="left" vertical="top"/>
    </xf>
    <xf numFmtId="9" fontId="25" fillId="0" borderId="0" xfId="2" applyFont="1" applyFill="1" applyBorder="1" applyAlignment="1">
      <alignment horizontal="right" vertical="top"/>
    </xf>
    <xf numFmtId="3" fontId="11" fillId="3" borderId="0" xfId="0" applyNumberFormat="1" applyFont="1" applyFill="1" applyAlignment="1" applyProtection="1">
      <alignment horizontal="right" vertical="center" indent="3"/>
      <protection locked="0"/>
    </xf>
    <xf numFmtId="3" fontId="38" fillId="3" borderId="0" xfId="0" applyNumberFormat="1" applyFont="1" applyFill="1" applyAlignment="1" applyProtection="1">
      <alignment horizontal="right" vertical="center" indent="3"/>
      <protection locked="0"/>
    </xf>
    <xf numFmtId="0" fontId="9" fillId="2" borderId="14" xfId="0" applyFont="1" applyFill="1" applyBorder="1" applyAlignment="1">
      <alignment horizontal="left"/>
    </xf>
    <xf numFmtId="3" fontId="9" fillId="2" borderId="14" xfId="0" applyNumberFormat="1" applyFont="1" applyFill="1" applyBorder="1" applyAlignment="1">
      <alignment horizontal="right" vertical="center" indent="3"/>
    </xf>
    <xf numFmtId="0" fontId="25" fillId="3" borderId="0" xfId="0" applyFont="1" applyFill="1" applyAlignment="1">
      <alignment horizontal="left"/>
    </xf>
    <xf numFmtId="0" fontId="25" fillId="2" borderId="0" xfId="0" applyFont="1" applyFill="1" applyAlignment="1">
      <alignment horizontal="left"/>
    </xf>
    <xf numFmtId="3" fontId="30" fillId="2" borderId="14" xfId="0" applyNumberFormat="1" applyFont="1" applyFill="1" applyBorder="1" applyAlignment="1">
      <alignment horizontal="right" vertical="center" indent="3"/>
    </xf>
    <xf numFmtId="3" fontId="30" fillId="2" borderId="14" xfId="0" applyNumberFormat="1" applyFont="1" applyFill="1" applyBorder="1" applyAlignment="1">
      <alignment horizontal="right" vertical="center" indent="5"/>
    </xf>
    <xf numFmtId="3" fontId="7" fillId="3" borderId="0" xfId="0" applyNumberFormat="1" applyFont="1" applyFill="1" applyAlignment="1" applyProtection="1">
      <alignment horizontal="right" vertical="center"/>
      <protection locked="0"/>
    </xf>
    <xf numFmtId="0" fontId="25" fillId="3" borderId="0" xfId="0" applyFont="1" applyFill="1"/>
    <xf numFmtId="0" fontId="9" fillId="3" borderId="12" xfId="0" applyFont="1" applyFill="1" applyBorder="1" applyAlignment="1">
      <alignment horizontal="left"/>
    </xf>
    <xf numFmtId="43" fontId="37"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8"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4" fontId="7" fillId="3" borderId="0" xfId="0" applyNumberFormat="1" applyFont="1" applyFill="1" applyAlignment="1">
      <alignment horizontal="left" vertical="top"/>
    </xf>
    <xf numFmtId="0" fontId="11" fillId="3" borderId="0" xfId="0" applyFont="1" applyFill="1" applyAlignment="1">
      <alignment horizontal="left" vertical="top"/>
    </xf>
    <xf numFmtId="0" fontId="7" fillId="2" borderId="0" xfId="0" applyFont="1" applyFill="1" applyAlignment="1">
      <alignment vertical="top"/>
    </xf>
    <xf numFmtId="0" fontId="0" fillId="2" borderId="0" xfId="0" applyFill="1" applyAlignment="1">
      <alignment vertical="top"/>
    </xf>
    <xf numFmtId="4" fontId="7" fillId="2" borderId="0" xfId="0" applyNumberFormat="1" applyFont="1" applyFill="1" applyAlignment="1" applyProtection="1">
      <alignment horizontal="right" indent="1"/>
      <protection locked="0"/>
    </xf>
    <xf numFmtId="0" fontId="7" fillId="3" borderId="0" xfId="0" quotePrefix="1" applyFont="1" applyFill="1"/>
    <xf numFmtId="4" fontId="7" fillId="3" borderId="0" xfId="0" quotePrefix="1" applyNumberFormat="1" applyFont="1" applyFill="1"/>
    <xf numFmtId="3" fontId="7" fillId="3" borderId="0" xfId="0" applyNumberFormat="1" applyFont="1" applyFill="1"/>
    <xf numFmtId="0" fontId="6" fillId="2" borderId="0" xfId="0" applyFont="1" applyFill="1" applyAlignment="1">
      <alignment vertical="top" wrapText="1" shrinkToFit="1"/>
    </xf>
    <xf numFmtId="0" fontId="6" fillId="2" borderId="0" xfId="0" applyFont="1" applyFill="1" applyAlignment="1">
      <alignment vertical="top"/>
    </xf>
    <xf numFmtId="167" fontId="7" fillId="3" borderId="0" xfId="0" applyNumberFormat="1" applyFont="1" applyFill="1"/>
    <xf numFmtId="4" fontId="7" fillId="3" borderId="0" xfId="0" applyNumberFormat="1" applyFont="1" applyFill="1" applyAlignment="1">
      <alignment horizontal="right" vertical="top"/>
    </xf>
    <xf numFmtId="0" fontId="7" fillId="3" borderId="0" xfId="0" applyFont="1" applyFill="1" applyAlignment="1">
      <alignment vertical="top"/>
    </xf>
    <xf numFmtId="39" fontId="7" fillId="3" borderId="0" xfId="0" applyNumberFormat="1" applyFont="1" applyFill="1" applyAlignment="1">
      <alignment horizontal="righ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0" fontId="7" fillId="2" borderId="0" xfId="0" applyFont="1" applyFill="1" applyAlignment="1">
      <alignment horizontal="left" vertical="top" wrapText="1"/>
    </xf>
    <xf numFmtId="9" fontId="7" fillId="0" borderId="0" xfId="2" applyFont="1" applyFill="1" applyBorder="1" applyAlignment="1">
      <alignment horizontal="left" vertical="top"/>
    </xf>
    <xf numFmtId="3" fontId="11" fillId="3" borderId="0" xfId="0" applyNumberFormat="1" applyFont="1" applyFill="1" applyAlignment="1" applyProtection="1">
      <alignment horizontal="right" vertical="top"/>
      <protection locked="0"/>
    </xf>
    <xf numFmtId="3" fontId="38" fillId="3" borderId="0" xfId="0" applyNumberFormat="1" applyFont="1" applyFill="1" applyAlignment="1" applyProtection="1">
      <alignment horizontal="right" vertical="top"/>
      <protection locked="0"/>
    </xf>
    <xf numFmtId="0" fontId="27" fillId="3" borderId="0" xfId="0" applyFont="1" applyFill="1" applyAlignment="1">
      <alignment vertical="top"/>
    </xf>
    <xf numFmtId="0" fontId="35" fillId="3" borderId="0" xfId="0" applyFont="1" applyFill="1" applyAlignment="1">
      <alignment vertical="top"/>
    </xf>
    <xf numFmtId="0" fontId="13" fillId="3" borderId="0" xfId="0" applyFont="1" applyFill="1" applyAlignment="1">
      <alignment vertical="top"/>
    </xf>
    <xf numFmtId="0" fontId="26" fillId="3" borderId="0" xfId="0" applyFont="1" applyFill="1" applyAlignment="1">
      <alignment vertical="top"/>
    </xf>
    <xf numFmtId="0" fontId="13" fillId="3" borderId="0" xfId="0" applyFont="1" applyFill="1" applyAlignment="1">
      <alignment horizontal="center" vertical="top"/>
    </xf>
    <xf numFmtId="0" fontId="23" fillId="3" borderId="0" xfId="0" applyFont="1" applyFill="1" applyAlignment="1">
      <alignment vertical="top"/>
    </xf>
    <xf numFmtId="0" fontId="14" fillId="3" borderId="0" xfId="0" applyFont="1" applyFill="1" applyAlignment="1">
      <alignment horizontal="center" vertical="top"/>
    </xf>
    <xf numFmtId="0" fontId="23" fillId="3" borderId="0" xfId="0" applyFont="1" applyFill="1" applyAlignment="1">
      <alignment horizontal="left" vertical="top"/>
    </xf>
    <xf numFmtId="0" fontId="9" fillId="3" borderId="0" xfId="0" applyFont="1" applyFill="1" applyAlignment="1">
      <alignment vertical="top"/>
    </xf>
    <xf numFmtId="1" fontId="14" fillId="3" borderId="0" xfId="0" applyNumberFormat="1"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4" fillId="2" borderId="0" xfId="0" applyFont="1" applyFill="1" applyAlignment="1">
      <alignment horizontal="left" vertical="top"/>
    </xf>
    <xf numFmtId="0" fontId="7" fillId="2" borderId="0" xfId="0" applyFont="1" applyFill="1" applyAlignment="1">
      <alignment horizontal="left" vertical="top"/>
    </xf>
    <xf numFmtId="0" fontId="19" fillId="2" borderId="0" xfId="0" applyFont="1" applyFill="1" applyAlignment="1">
      <alignment vertical="top"/>
    </xf>
    <xf numFmtId="0" fontId="7" fillId="2" borderId="0" xfId="0" applyFont="1" applyFill="1" applyAlignment="1">
      <alignment horizontal="center" vertical="top"/>
    </xf>
    <xf numFmtId="0" fontId="19" fillId="2" borderId="0" xfId="0" quotePrefix="1" applyFont="1" applyFill="1" applyAlignment="1">
      <alignment vertical="top"/>
    </xf>
    <xf numFmtId="0" fontId="9" fillId="2" borderId="0" xfId="0" applyFont="1" applyFill="1" applyAlignment="1">
      <alignment horizontal="left" vertical="top"/>
    </xf>
    <xf numFmtId="0" fontId="9" fillId="2" borderId="1" xfId="0" applyFont="1" applyFill="1" applyBorder="1" applyAlignment="1">
      <alignmen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17" fillId="3" borderId="0" xfId="0" applyFont="1" applyFill="1" applyAlignment="1">
      <alignment horizontal="right"/>
    </xf>
    <xf numFmtId="0" fontId="7" fillId="3" borderId="0" xfId="0" quotePrefix="1" applyFont="1" applyFill="1" applyAlignment="1">
      <alignment horizontal="right" vertical="top" wrapText="1"/>
    </xf>
    <xf numFmtId="0" fontId="17" fillId="3" borderId="0" xfId="0" applyFont="1" applyFill="1"/>
    <xf numFmtId="0" fontId="24" fillId="3" borderId="0" xfId="0" applyFont="1" applyFill="1"/>
    <xf numFmtId="0" fontId="16" fillId="3" borderId="0" xfId="0" applyFont="1" applyFill="1"/>
    <xf numFmtId="0" fontId="7" fillId="3" borderId="0" xfId="0" applyFont="1" applyFill="1" applyAlignment="1">
      <alignment vertical="top" wrapText="1"/>
    </xf>
    <xf numFmtId="4" fontId="14" fillId="3" borderId="0" xfId="0" applyNumberFormat="1" applyFont="1" applyFill="1" applyAlignment="1">
      <alignment horizontal="right"/>
    </xf>
    <xf numFmtId="0" fontId="8" fillId="3" borderId="0" xfId="0" applyFont="1" applyFill="1" applyAlignment="1">
      <alignment vertical="top"/>
    </xf>
    <xf numFmtId="0" fontId="9" fillId="2" borderId="24" xfId="0" applyFont="1" applyFill="1" applyBorder="1" applyAlignment="1">
      <alignment horizontal="left"/>
    </xf>
    <xf numFmtId="0" fontId="6" fillId="3" borderId="0" xfId="0" applyFont="1" applyFill="1" applyAlignment="1">
      <alignment horizontal="left" vertical="top"/>
    </xf>
    <xf numFmtId="0" fontId="7" fillId="3" borderId="24" xfId="0" applyFont="1" applyFill="1" applyBorder="1"/>
    <xf numFmtId="0" fontId="8" fillId="0" borderId="3" xfId="0" applyFont="1" applyBorder="1" applyAlignment="1">
      <alignment horizontal="left" vertical="top"/>
    </xf>
    <xf numFmtId="0" fontId="9" fillId="0" borderId="3" xfId="0" applyFont="1" applyBorder="1" applyAlignment="1">
      <alignment horizontal="left" vertical="top"/>
    </xf>
    <xf numFmtId="0" fontId="9" fillId="0" borderId="24" xfId="0" applyFont="1" applyBorder="1" applyAlignment="1">
      <alignment horizontal="left" vertical="top"/>
    </xf>
    <xf numFmtId="0" fontId="7" fillId="0" borderId="0" xfId="0" applyFont="1" applyAlignment="1">
      <alignment vertical="top"/>
    </xf>
    <xf numFmtId="0" fontId="7" fillId="0" borderId="0" xfId="0" applyFont="1" applyAlignment="1">
      <alignment horizontal="left" vertical="top"/>
    </xf>
    <xf numFmtId="0" fontId="23" fillId="0" borderId="5" xfId="0" applyFont="1" applyBorder="1" applyAlignment="1">
      <alignment horizontal="left" vertical="top"/>
    </xf>
    <xf numFmtId="0" fontId="23" fillId="0" borderId="0" xfId="0" applyFont="1" applyAlignment="1">
      <alignment horizontal="left" vertical="top"/>
    </xf>
    <xf numFmtId="0" fontId="25" fillId="0" borderId="0" xfId="0" applyFont="1" applyAlignment="1">
      <alignment horizontal="right" vertical="top"/>
    </xf>
    <xf numFmtId="167" fontId="25" fillId="0" borderId="0" xfId="0" applyNumberFormat="1" applyFont="1" applyAlignment="1">
      <alignment horizontal="right" vertical="top"/>
    </xf>
    <xf numFmtId="0" fontId="7" fillId="0" borderId="2" xfId="0" applyFont="1" applyBorder="1" applyAlignment="1">
      <alignment horizontal="left" vertical="top" wrapText="1"/>
    </xf>
    <xf numFmtId="0" fontId="23" fillId="0" borderId="5" xfId="0" applyFont="1" applyBorder="1" applyAlignment="1">
      <alignment horizontal="left" vertical="top" wrapText="1"/>
    </xf>
    <xf numFmtId="167" fontId="7" fillId="0" borderId="0" xfId="0" applyNumberFormat="1" applyFont="1" applyAlignment="1">
      <alignment horizontal="left" vertical="top" wrapText="1"/>
    </xf>
    <xf numFmtId="0" fontId="7" fillId="0" borderId="25" xfId="0" applyFont="1" applyBorder="1" applyAlignment="1">
      <alignment horizontal="left" vertical="top"/>
    </xf>
    <xf numFmtId="3" fontId="25" fillId="0" borderId="0" xfId="0" applyNumberFormat="1" applyFont="1" applyAlignment="1">
      <alignment horizontal="right" vertical="top"/>
    </xf>
    <xf numFmtId="0" fontId="7" fillId="0" borderId="6" xfId="0" applyFont="1" applyBorder="1" applyAlignment="1">
      <alignment horizontal="left" vertical="top"/>
    </xf>
    <xf numFmtId="0" fontId="7" fillId="0" borderId="1" xfId="0" applyFont="1" applyBorder="1" applyAlignment="1">
      <alignment horizontal="left" vertical="top"/>
    </xf>
    <xf numFmtId="0" fontId="25" fillId="0" borderId="1" xfId="0" applyFont="1" applyBorder="1" applyAlignment="1">
      <alignment horizontal="right" vertical="top"/>
    </xf>
    <xf numFmtId="0" fontId="7" fillId="0" borderId="24" xfId="0" applyFont="1" applyBorder="1" applyAlignment="1">
      <alignment horizontal="left" vertical="top" wrapText="1"/>
    </xf>
    <xf numFmtId="0" fontId="7" fillId="0" borderId="16" xfId="0" applyFont="1" applyBorder="1" applyAlignment="1">
      <alignment horizontal="left" vertical="top"/>
    </xf>
    <xf numFmtId="0" fontId="7" fillId="0" borderId="12" xfId="0" applyFont="1" applyBorder="1" applyAlignment="1">
      <alignment horizontal="left" vertical="top"/>
    </xf>
    <xf numFmtId="167" fontId="25" fillId="0" borderId="12" xfId="0" applyNumberFormat="1" applyFont="1" applyBorder="1" applyAlignment="1">
      <alignment horizontal="right" vertical="top"/>
    </xf>
    <xf numFmtId="0" fontId="7" fillId="0" borderId="26" xfId="0" applyFont="1" applyBorder="1" applyAlignment="1">
      <alignment horizontal="left" vertical="top" wrapText="1"/>
    </xf>
    <xf numFmtId="0" fontId="7" fillId="0" borderId="5" xfId="0" applyFont="1" applyBorder="1" applyAlignment="1">
      <alignment horizontal="left" vertical="top"/>
    </xf>
    <xf numFmtId="0" fontId="7" fillId="0" borderId="0" xfId="0" applyFont="1" applyAlignment="1">
      <alignment horizontal="right" vertical="top"/>
    </xf>
    <xf numFmtId="2" fontId="25" fillId="0" borderId="0" xfId="0" applyNumberFormat="1" applyFont="1" applyAlignment="1">
      <alignment horizontal="right" vertical="top"/>
    </xf>
    <xf numFmtId="0" fontId="7" fillId="0" borderId="18" xfId="0" applyFont="1" applyBorder="1" applyAlignment="1">
      <alignment horizontal="left" vertical="top"/>
    </xf>
    <xf numFmtId="0" fontId="7" fillId="0" borderId="24" xfId="0" applyFont="1" applyBorder="1" applyAlignment="1">
      <alignment horizontal="left" vertical="top"/>
    </xf>
    <xf numFmtId="167" fontId="25" fillId="0" borderId="24" xfId="0" applyNumberFormat="1" applyFont="1" applyBorder="1" applyAlignment="1">
      <alignment horizontal="right" vertical="top"/>
    </xf>
    <xf numFmtId="0" fontId="25" fillId="0" borderId="24" xfId="0" applyFont="1" applyBorder="1" applyAlignment="1">
      <alignment horizontal="right" vertical="top"/>
    </xf>
    <xf numFmtId="167" fontId="25" fillId="0" borderId="1" xfId="0" applyNumberFormat="1" applyFont="1" applyBorder="1" applyAlignment="1">
      <alignment horizontal="right" vertical="top"/>
    </xf>
    <xf numFmtId="0" fontId="7" fillId="0" borderId="7" xfId="0" applyFont="1" applyBorder="1" applyAlignment="1">
      <alignment horizontal="left" vertical="top"/>
    </xf>
    <xf numFmtId="0" fontId="7" fillId="0" borderId="15" xfId="0" applyFont="1" applyBorder="1" applyAlignment="1">
      <alignment horizontal="left" vertical="top"/>
    </xf>
    <xf numFmtId="167" fontId="25" fillId="0" borderId="27" xfId="0" applyNumberFormat="1" applyFont="1" applyBorder="1" applyAlignment="1">
      <alignment horizontal="right" vertical="top"/>
    </xf>
    <xf numFmtId="167" fontId="7" fillId="0" borderId="27" xfId="0" applyNumberFormat="1" applyFont="1" applyBorder="1" applyAlignment="1">
      <alignment horizontal="left" vertical="top"/>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xf numFmtId="0" fontId="7" fillId="0" borderId="2" xfId="0" applyFont="1" applyBorder="1" applyAlignment="1">
      <alignment horizontal="left" vertical="top"/>
    </xf>
    <xf numFmtId="167" fontId="25" fillId="0" borderId="2" xfId="0" applyNumberFormat="1" applyFont="1" applyBorder="1" applyAlignment="1">
      <alignment horizontal="right" vertical="top"/>
    </xf>
    <xf numFmtId="167" fontId="7" fillId="0" borderId="0" xfId="0" applyNumberFormat="1" applyFont="1" applyAlignment="1">
      <alignment horizontal="left" vertical="top"/>
    </xf>
    <xf numFmtId="167" fontId="7" fillId="0" borderId="24" xfId="0" applyNumberFormat="1" applyFont="1" applyBorder="1" applyAlignment="1">
      <alignment horizontal="left" vertical="top"/>
    </xf>
    <xf numFmtId="0" fontId="7" fillId="0" borderId="9" xfId="0" applyFont="1" applyBorder="1" applyAlignment="1">
      <alignment horizontal="left" vertical="top"/>
    </xf>
    <xf numFmtId="0" fontId="7" fillId="0" borderId="8" xfId="0" applyFont="1" applyBorder="1" applyAlignment="1">
      <alignment horizontal="left" vertical="top"/>
    </xf>
    <xf numFmtId="167" fontId="7" fillId="0" borderId="26" xfId="0" applyNumberFormat="1" applyFont="1" applyBorder="1" applyAlignment="1">
      <alignment horizontal="left" vertical="top"/>
    </xf>
    <xf numFmtId="0" fontId="25" fillId="0" borderId="2" xfId="0" applyFont="1" applyBorder="1" applyAlignment="1">
      <alignment horizontal="right" vertical="top"/>
    </xf>
    <xf numFmtId="0" fontId="7" fillId="0" borderId="17" xfId="0" applyFont="1" applyBorder="1" applyAlignment="1">
      <alignment horizontal="left" vertical="top"/>
    </xf>
    <xf numFmtId="167" fontId="25" fillId="0" borderId="14" xfId="0" applyNumberFormat="1" applyFont="1" applyBorder="1" applyAlignment="1">
      <alignment horizontal="right" vertical="top"/>
    </xf>
    <xf numFmtId="0" fontId="7" fillId="0" borderId="0" xfId="0" applyFont="1" applyAlignment="1">
      <alignment horizontal="left" vertical="top" wrapText="1"/>
    </xf>
    <xf numFmtId="0" fontId="7" fillId="0" borderId="0" xfId="0" applyFont="1" applyAlignment="1">
      <alignment vertical="top" wrapText="1"/>
    </xf>
    <xf numFmtId="4" fontId="25" fillId="0" borderId="0" xfId="0" applyNumberFormat="1" applyFont="1" applyAlignment="1">
      <alignment horizontal="right" vertical="top"/>
    </xf>
    <xf numFmtId="0" fontId="0" fillId="0" borderId="0" xfId="0" applyAlignment="1">
      <alignment horizontal="left" vertical="top"/>
    </xf>
    <xf numFmtId="0" fontId="0" fillId="0" borderId="24" xfId="0"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wrapText="1"/>
    </xf>
    <xf numFmtId="9" fontId="25" fillId="0" borderId="2" xfId="0" applyNumberFormat="1" applyFont="1" applyBorder="1" applyAlignment="1">
      <alignment horizontal="right" vertical="top"/>
    </xf>
    <xf numFmtId="0" fontId="7" fillId="0" borderId="19" xfId="0" applyFont="1" applyBorder="1" applyAlignment="1">
      <alignment horizontal="left" vertical="top"/>
    </xf>
    <xf numFmtId="167" fontId="25" fillId="0" borderId="19" xfId="0" applyNumberFormat="1" applyFont="1" applyBorder="1" applyAlignment="1">
      <alignment horizontal="right" vertical="top"/>
    </xf>
    <xf numFmtId="0" fontId="7" fillId="0" borderId="14" xfId="0" applyFont="1" applyBorder="1" applyAlignment="1">
      <alignment horizontal="left" vertical="top"/>
    </xf>
    <xf numFmtId="0" fontId="25" fillId="0" borderId="14" xfId="0" applyFont="1" applyBorder="1" applyAlignment="1">
      <alignment horizontal="right" vertical="top"/>
    </xf>
    <xf numFmtId="0" fontId="7" fillId="0" borderId="20" xfId="0" applyFont="1" applyBorder="1" applyAlignment="1">
      <alignment horizontal="left" vertical="top"/>
    </xf>
    <xf numFmtId="0" fontId="7" fillId="0" borderId="28" xfId="0" applyFont="1" applyBorder="1" applyAlignment="1">
      <alignment horizontal="left" vertical="top"/>
    </xf>
    <xf numFmtId="0" fontId="7" fillId="0" borderId="23" xfId="0" applyFont="1" applyBorder="1" applyAlignment="1">
      <alignment horizontal="left" vertical="top"/>
    </xf>
    <xf numFmtId="0" fontId="7" fillId="0" borderId="22" xfId="0" applyFont="1" applyBorder="1" applyAlignment="1">
      <alignment horizontal="left" vertical="top"/>
    </xf>
    <xf numFmtId="167" fontId="25" fillId="0" borderId="22" xfId="0" applyNumberFormat="1" applyFont="1" applyBorder="1" applyAlignment="1">
      <alignment horizontal="right" vertical="top"/>
    </xf>
    <xf numFmtId="0" fontId="2" fillId="3" borderId="0" xfId="0" applyFont="1" applyFill="1" applyAlignment="1">
      <alignment vertical="top" wrapText="1"/>
    </xf>
    <xf numFmtId="3" fontId="7" fillId="3" borderId="0" xfId="0" applyNumberFormat="1" applyFont="1" applyFill="1" applyAlignment="1">
      <alignment horizontal="right"/>
    </xf>
    <xf numFmtId="3" fontId="14" fillId="3" borderId="0" xfId="0" applyNumberFormat="1" applyFont="1" applyFill="1" applyAlignment="1">
      <alignment horizontal="right"/>
    </xf>
    <xf numFmtId="4" fontId="14" fillId="3" borderId="0" xfId="0" applyNumberFormat="1" applyFont="1" applyFill="1" applyAlignment="1">
      <alignment vertical="top"/>
    </xf>
    <xf numFmtId="0" fontId="14" fillId="3" borderId="0" xfId="0" applyFont="1" applyFill="1" applyAlignment="1">
      <alignment horizontal="right"/>
    </xf>
    <xf numFmtId="0" fontId="7" fillId="3" borderId="21" xfId="0" applyFont="1" applyFill="1" applyBorder="1" applyAlignment="1">
      <alignment horizontal="left" vertical="top"/>
    </xf>
    <xf numFmtId="3" fontId="7" fillId="3" borderId="10" xfId="0" applyNumberFormat="1" applyFont="1" applyFill="1" applyBorder="1" applyAlignment="1">
      <alignment horizontal="right"/>
    </xf>
    <xf numFmtId="3" fontId="14" fillId="3" borderId="10" xfId="0" applyNumberFormat="1" applyFont="1" applyFill="1" applyBorder="1" applyAlignment="1">
      <alignment horizontal="right"/>
    </xf>
    <xf numFmtId="4" fontId="14" fillId="3" borderId="10" xfId="0" applyNumberFormat="1" applyFont="1" applyFill="1" applyBorder="1" applyAlignment="1">
      <alignment horizontal="right"/>
    </xf>
    <xf numFmtId="0" fontId="4" fillId="3" borderId="0" xfId="0" applyFont="1" applyFill="1" applyAlignment="1">
      <alignment vertical="top"/>
    </xf>
    <xf numFmtId="164" fontId="14" fillId="3" borderId="0" xfId="0" applyNumberFormat="1" applyFont="1" applyFill="1" applyAlignment="1">
      <alignment vertical="top"/>
    </xf>
    <xf numFmtId="44" fontId="14" fillId="3" borderId="0" xfId="0" applyNumberFormat="1" applyFont="1" applyFill="1" applyAlignment="1">
      <alignment vertical="top"/>
    </xf>
    <xf numFmtId="3" fontId="25" fillId="3" borderId="0" xfId="0" applyNumberFormat="1" applyFont="1" applyFill="1" applyAlignment="1" applyProtection="1">
      <alignment horizontal="right"/>
      <protection locked="0"/>
    </xf>
    <xf numFmtId="0" fontId="7" fillId="3" borderId="21" xfId="0" applyFont="1" applyFill="1" applyBorder="1" applyAlignment="1">
      <alignment vertical="top"/>
    </xf>
    <xf numFmtId="4" fontId="14" fillId="3" borderId="14" xfId="0" applyNumberFormat="1" applyFont="1" applyFill="1" applyBorder="1" applyAlignment="1">
      <alignment horizontal="right"/>
    </xf>
    <xf numFmtId="168" fontId="25" fillId="0" borderId="0" xfId="0" applyNumberFormat="1" applyFont="1" applyAlignment="1">
      <alignment horizontal="right" vertical="top"/>
    </xf>
    <xf numFmtId="0" fontId="30" fillId="3" borderId="0" xfId="0" applyFont="1" applyFill="1" applyAlignment="1" applyProtection="1">
      <alignment horizontal="center" vertical="top"/>
      <protection locked="0"/>
    </xf>
    <xf numFmtId="0" fontId="30" fillId="3" borderId="24" xfId="0" applyFont="1" applyFill="1" applyBorder="1" applyAlignment="1" applyProtection="1">
      <alignment horizontal="center" vertical="top"/>
      <protection locked="0"/>
    </xf>
    <xf numFmtId="0" fontId="9" fillId="2" borderId="27" xfId="0" applyFont="1" applyFill="1" applyBorder="1" applyAlignment="1">
      <alignment horizontal="right" vertical="top" wrapText="1"/>
    </xf>
    <xf numFmtId="2" fontId="4" fillId="2" borderId="0" xfId="0" applyNumberFormat="1" applyFont="1" applyFill="1" applyAlignment="1">
      <alignment horizontal="left" vertical="top"/>
    </xf>
    <xf numFmtId="0" fontId="11" fillId="3" borderId="0" xfId="0" applyFont="1" applyFill="1" applyAlignment="1">
      <alignment vertical="top" wrapText="1"/>
    </xf>
    <xf numFmtId="0" fontId="25" fillId="3" borderId="0" xfId="0" applyFont="1" applyFill="1" applyAlignment="1">
      <alignment vertical="top"/>
    </xf>
    <xf numFmtId="0" fontId="37" fillId="3" borderId="0" xfId="0" applyFont="1" applyFill="1" applyAlignment="1">
      <alignment vertical="top"/>
    </xf>
    <xf numFmtId="0" fontId="6" fillId="3" borderId="24" xfId="0" applyFont="1" applyFill="1" applyBorder="1"/>
    <xf numFmtId="3" fontId="7" fillId="3" borderId="0" xfId="0" applyNumberFormat="1" applyFont="1" applyFill="1" applyAlignment="1">
      <alignment horizontal="center" vertical="top"/>
    </xf>
    <xf numFmtId="3" fontId="7" fillId="4" borderId="0" xfId="0" applyNumberFormat="1" applyFont="1" applyFill="1" applyAlignment="1">
      <alignment horizontal="center" vertical="top"/>
    </xf>
    <xf numFmtId="3" fontId="7" fillId="3" borderId="24" xfId="0" applyNumberFormat="1" applyFont="1" applyFill="1" applyBorder="1" applyAlignment="1">
      <alignment horizontal="center" vertical="top"/>
    </xf>
    <xf numFmtId="3" fontId="7" fillId="4" borderId="24" xfId="0" applyNumberFormat="1" applyFont="1" applyFill="1" applyBorder="1" applyAlignment="1">
      <alignment horizontal="center" vertical="top"/>
    </xf>
    <xf numFmtId="0" fontId="29" fillId="3" borderId="0" xfId="0" applyFont="1" applyFill="1" applyAlignment="1">
      <alignment vertical="top" wrapText="1"/>
    </xf>
    <xf numFmtId="1" fontId="9" fillId="3" borderId="0" xfId="0" applyNumberFormat="1" applyFont="1" applyFill="1" applyAlignment="1" applyProtection="1">
      <alignment horizontal="center" vertical="top"/>
      <protection locked="0"/>
    </xf>
    <xf numFmtId="1" fontId="9" fillId="3" borderId="24" xfId="0" applyNumberFormat="1" applyFont="1" applyFill="1" applyBorder="1" applyAlignment="1" applyProtection="1">
      <alignment horizontal="center" vertical="top"/>
      <protection locked="0"/>
    </xf>
    <xf numFmtId="0" fontId="6" fillId="3" borderId="0" xfId="0" applyFont="1" applyFill="1" applyAlignment="1">
      <alignment horizontal="center" vertical="top"/>
    </xf>
    <xf numFmtId="4" fontId="7" fillId="3" borderId="0" xfId="0" applyNumberFormat="1" applyFont="1" applyFill="1" applyAlignment="1" applyProtection="1">
      <alignment horizontal="right"/>
      <protection locked="0"/>
    </xf>
    <xf numFmtId="43" fontId="7" fillId="3" borderId="0" xfId="0" applyNumberFormat="1" applyFont="1" applyFill="1" applyAlignment="1" applyProtection="1">
      <alignment horizontal="right"/>
      <protection locked="0"/>
    </xf>
    <xf numFmtId="0" fontId="7" fillId="3" borderId="0" xfId="0" applyFont="1" applyFill="1" applyAlignment="1">
      <alignment horizontal="right"/>
    </xf>
    <xf numFmtId="2" fontId="7" fillId="3" borderId="0" xfId="0" applyNumberFormat="1" applyFont="1" applyFill="1" applyAlignment="1" applyProtection="1">
      <alignment horizontal="right"/>
      <protection locked="0"/>
    </xf>
    <xf numFmtId="0" fontId="9" fillId="2" borderId="27" xfId="0" applyFont="1" applyFill="1" applyBorder="1" applyAlignment="1">
      <alignment horizontal="center" vertical="top" wrapText="1"/>
    </xf>
    <xf numFmtId="0" fontId="9" fillId="3" borderId="27" xfId="0" applyFont="1" applyFill="1" applyBorder="1" applyAlignment="1">
      <alignment horizontal="left"/>
    </xf>
    <xf numFmtId="0" fontId="8" fillId="3" borderId="27" xfId="0" applyFont="1" applyFill="1" applyBorder="1" applyAlignment="1">
      <alignment horizontal="left"/>
    </xf>
    <xf numFmtId="0" fontId="6" fillId="3" borderId="27" xfId="0" applyFont="1" applyFill="1" applyBorder="1"/>
    <xf numFmtId="0" fontId="8" fillId="3" borderId="24" xfId="0" applyFont="1" applyFill="1" applyBorder="1"/>
    <xf numFmtId="0" fontId="5" fillId="3" borderId="24" xfId="0" applyFont="1" applyFill="1" applyBorder="1" applyAlignment="1">
      <alignment horizontal="left" vertical="top" wrapText="1"/>
    </xf>
    <xf numFmtId="0" fontId="9" fillId="3" borderId="24" xfId="0" applyFont="1" applyFill="1" applyBorder="1" applyAlignment="1">
      <alignment horizontal="right" vertical="top"/>
    </xf>
    <xf numFmtId="0" fontId="9" fillId="3" borderId="24" xfId="0" applyFont="1" applyFill="1" applyBorder="1" applyAlignment="1">
      <alignment horizontal="right" vertical="top" wrapText="1"/>
    </xf>
    <xf numFmtId="0" fontId="6" fillId="3" borderId="0" xfId="0" applyFont="1" applyFill="1" applyAlignment="1">
      <alignment horizontal="left"/>
    </xf>
    <xf numFmtId="0" fontId="5"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0" fontId="6" fillId="3" borderId="24" xfId="0" applyFont="1" applyFill="1" applyBorder="1" applyAlignment="1">
      <alignment horizontal="left"/>
    </xf>
    <xf numFmtId="0" fontId="7" fillId="3" borderId="24" xfId="0" applyFont="1" applyFill="1" applyBorder="1" applyAlignment="1">
      <alignment horizontal="left"/>
    </xf>
    <xf numFmtId="0" fontId="9" fillId="3" borderId="27" xfId="0" applyFont="1" applyFill="1" applyBorder="1" applyAlignment="1">
      <alignment horizontal="left" vertical="top"/>
    </xf>
    <xf numFmtId="0" fontId="9" fillId="3" borderId="27" xfId="0" applyFont="1" applyFill="1" applyBorder="1" applyAlignment="1">
      <alignment horizontal="right" vertical="top"/>
    </xf>
    <xf numFmtId="3" fontId="7" fillId="3" borderId="24" xfId="0" applyNumberFormat="1" applyFont="1" applyFill="1" applyBorder="1" applyAlignment="1">
      <alignment horizontal="right"/>
    </xf>
    <xf numFmtId="0" fontId="9" fillId="3" borderId="0" xfId="0" applyFont="1" applyFill="1"/>
    <xf numFmtId="3" fontId="9" fillId="3" borderId="0" xfId="0" applyNumberFormat="1" applyFont="1" applyFill="1" applyAlignment="1">
      <alignment horizontal="right"/>
    </xf>
    <xf numFmtId="0" fontId="23" fillId="3" borderId="0" xfId="0" applyFont="1" applyFill="1" applyAlignment="1">
      <alignment horizontal="left"/>
    </xf>
    <xf numFmtId="0" fontId="9" fillId="3" borderId="0" xfId="0" applyFont="1" applyFill="1" applyAlignment="1">
      <alignment horizontal="left"/>
    </xf>
    <xf numFmtId="3" fontId="46" fillId="3" borderId="0" xfId="0" applyNumberFormat="1" applyFont="1" applyFill="1" applyAlignment="1">
      <alignment horizontal="right"/>
    </xf>
    <xf numFmtId="3" fontId="46" fillId="3" borderId="0" xfId="0" applyNumberFormat="1" applyFont="1" applyFill="1"/>
    <xf numFmtId="0" fontId="9" fillId="3" borderId="27" xfId="0" applyFont="1" applyFill="1" applyBorder="1" applyAlignment="1">
      <alignment vertical="top" wrapText="1"/>
    </xf>
    <xf numFmtId="0" fontId="9" fillId="3" borderId="27" xfId="0" applyFont="1" applyFill="1" applyBorder="1" applyAlignment="1">
      <alignment horizontal="center" vertical="top" wrapText="1"/>
    </xf>
    <xf numFmtId="9" fontId="31" fillId="3" borderId="0" xfId="0" applyNumberFormat="1" applyFont="1" applyFill="1" applyAlignment="1">
      <alignment horizontal="left" vertical="top"/>
    </xf>
    <xf numFmtId="167" fontId="0" fillId="3" borderId="0" xfId="0" applyNumberFormat="1" applyFill="1"/>
    <xf numFmtId="0" fontId="7" fillId="2" borderId="24" xfId="0" applyFont="1" applyFill="1" applyBorder="1" applyAlignment="1">
      <alignment vertical="top"/>
    </xf>
    <xf numFmtId="4" fontId="7" fillId="2" borderId="24" xfId="0" applyNumberFormat="1" applyFont="1" applyFill="1" applyBorder="1" applyAlignment="1">
      <alignment vertical="top"/>
    </xf>
    <xf numFmtId="0" fontId="9" fillId="2" borderId="27" xfId="0" applyFont="1" applyFill="1" applyBorder="1" applyAlignment="1">
      <alignment vertical="top"/>
    </xf>
    <xf numFmtId="0" fontId="5" fillId="2" borderId="27" xfId="0" applyFont="1" applyFill="1" applyBorder="1" applyAlignment="1">
      <alignment horizontal="right" vertical="top"/>
    </xf>
    <xf numFmtId="0" fontId="6" fillId="2" borderId="0" xfId="0" applyFont="1" applyFill="1" applyAlignment="1">
      <alignment horizontal="right" vertical="top"/>
    </xf>
    <xf numFmtId="0" fontId="6" fillId="2" borderId="24" xfId="0" applyFont="1" applyFill="1" applyBorder="1" applyAlignment="1">
      <alignment horizontal="right" vertical="top"/>
    </xf>
    <xf numFmtId="0" fontId="9" fillId="2" borderId="24" xfId="0" applyFont="1" applyFill="1" applyBorder="1" applyAlignment="1">
      <alignment vertical="top"/>
    </xf>
    <xf numFmtId="170" fontId="7" fillId="2" borderId="0" xfId="0" applyNumberFormat="1" applyFont="1" applyFill="1" applyAlignment="1">
      <alignment horizontal="right"/>
    </xf>
    <xf numFmtId="3" fontId="7" fillId="2" borderId="0" xfId="0" applyNumberFormat="1" applyFont="1" applyFill="1" applyAlignment="1">
      <alignment horizontal="right" vertical="top"/>
    </xf>
    <xf numFmtId="3" fontId="9" fillId="2" borderId="0" xfId="0" applyNumberFormat="1" applyFont="1" applyFill="1" applyAlignment="1">
      <alignment horizontal="right" vertical="top"/>
    </xf>
    <xf numFmtId="3" fontId="9" fillId="2" borderId="1" xfId="0" applyNumberFormat="1" applyFont="1" applyFill="1" applyBorder="1" applyAlignment="1">
      <alignment horizontal="right" vertical="top"/>
    </xf>
    <xf numFmtId="0" fontId="9" fillId="2" borderId="27"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27" xfId="0" applyFont="1" applyFill="1" applyBorder="1" applyAlignment="1">
      <alignment horizontal="right" vertical="top" wrapText="1"/>
    </xf>
    <xf numFmtId="165" fontId="21" fillId="3" borderId="0" xfId="3" applyNumberFormat="1" applyFont="1" applyFill="1" applyBorder="1" applyAlignment="1" applyProtection="1">
      <alignment horizontal="left" vertical="top"/>
      <protection locked="0"/>
    </xf>
    <xf numFmtId="3" fontId="6" fillId="3" borderId="24" xfId="0" applyNumberFormat="1" applyFont="1" applyFill="1" applyBorder="1" applyAlignment="1">
      <alignment horizontal="right"/>
    </xf>
    <xf numFmtId="3" fontId="25" fillId="3" borderId="24" xfId="0" applyNumberFormat="1" applyFont="1" applyFill="1" applyBorder="1" applyAlignment="1">
      <alignment horizontal="right"/>
    </xf>
    <xf numFmtId="0" fontId="5" fillId="3" borderId="27" xfId="0" applyFont="1" applyFill="1" applyBorder="1" applyAlignment="1">
      <alignment vertical="top"/>
    </xf>
    <xf numFmtId="0" fontId="9" fillId="3" borderId="27" xfId="0" applyFont="1" applyFill="1" applyBorder="1" applyAlignment="1">
      <alignment horizontal="left" vertical="top" wrapText="1"/>
    </xf>
    <xf numFmtId="0" fontId="9" fillId="3" borderId="27" xfId="0" applyFont="1" applyFill="1" applyBorder="1" applyAlignment="1">
      <alignment horizontal="right" vertical="top" wrapText="1"/>
    </xf>
    <xf numFmtId="4" fontId="7" fillId="3" borderId="0" xfId="0" applyNumberFormat="1" applyFont="1" applyFill="1" applyAlignment="1">
      <alignment horizontal="right"/>
    </xf>
    <xf numFmtId="3" fontId="16" fillId="3" borderId="0" xfId="0" applyNumberFormat="1" applyFont="1" applyFill="1" applyAlignment="1">
      <alignment horizontal="right"/>
    </xf>
    <xf numFmtId="4" fontId="15" fillId="3" borderId="0" xfId="0" applyNumberFormat="1" applyFont="1" applyFill="1" applyAlignment="1">
      <alignment horizontal="right"/>
    </xf>
    <xf numFmtId="3" fontId="7" fillId="3" borderId="0" xfId="0" applyNumberFormat="1" applyFont="1" applyFill="1" applyAlignment="1">
      <alignment horizontal="right" vertical="center"/>
    </xf>
    <xf numFmtId="4" fontId="7" fillId="3" borderId="0" xfId="0" applyNumberFormat="1" applyFont="1" applyFill="1" applyAlignment="1" applyProtection="1">
      <alignment horizontal="right" vertical="center"/>
      <protection locked="0"/>
    </xf>
    <xf numFmtId="3" fontId="7" fillId="3" borderId="1" xfId="0" applyNumberFormat="1" applyFont="1" applyFill="1" applyBorder="1" applyAlignment="1">
      <alignment horizontal="right" vertical="center"/>
    </xf>
    <xf numFmtId="164" fontId="7" fillId="3" borderId="0" xfId="1" applyNumberFormat="1" applyFont="1" applyFill="1" applyAlignment="1">
      <alignment horizontal="right"/>
    </xf>
    <xf numFmtId="4" fontId="7" fillId="3" borderId="0" xfId="0" applyNumberFormat="1" applyFont="1" applyFill="1" applyAlignment="1">
      <alignment horizontal="right" vertical="center"/>
    </xf>
    <xf numFmtId="166" fontId="7" fillId="3" borderId="0" xfId="0" applyNumberFormat="1" applyFont="1" applyFill="1" applyAlignment="1" applyProtection="1">
      <alignment horizontal="right" vertical="center"/>
      <protection locked="0"/>
    </xf>
    <xf numFmtId="4" fontId="7" fillId="3" borderId="19" xfId="0" applyNumberFormat="1" applyFont="1" applyFill="1" applyBorder="1" applyAlignment="1" applyProtection="1">
      <alignment horizontal="right" vertical="center"/>
      <protection locked="0"/>
    </xf>
    <xf numFmtId="4" fontId="7" fillId="3" borderId="1" xfId="0" applyNumberFormat="1" applyFont="1" applyFill="1" applyBorder="1" applyAlignment="1">
      <alignment horizontal="right" vertical="center"/>
    </xf>
    <xf numFmtId="3" fontId="7" fillId="3" borderId="24" xfId="0" applyNumberFormat="1" applyFont="1" applyFill="1" applyBorder="1" applyAlignment="1">
      <alignment horizontal="right" vertical="center"/>
    </xf>
    <xf numFmtId="4" fontId="7" fillId="3" borderId="24" xfId="0" applyNumberFormat="1" applyFont="1" applyFill="1" applyBorder="1" applyAlignment="1">
      <alignment horizontal="right"/>
    </xf>
    <xf numFmtId="4" fontId="7" fillId="3" borderId="2" xfId="0" applyNumberFormat="1" applyFont="1" applyFill="1" applyBorder="1" applyAlignment="1">
      <alignment horizontal="right" vertical="center"/>
    </xf>
    <xf numFmtId="4" fontId="7" fillId="3" borderId="1" xfId="0" applyNumberFormat="1" applyFont="1" applyFill="1" applyBorder="1" applyAlignment="1" applyProtection="1">
      <alignment horizontal="right" vertical="center"/>
      <protection locked="0"/>
    </xf>
    <xf numFmtId="4" fontId="7" fillId="3" borderId="24" xfId="0" applyNumberFormat="1" applyFont="1" applyFill="1" applyBorder="1" applyAlignment="1">
      <alignment horizontal="right" vertical="center"/>
    </xf>
    <xf numFmtId="0" fontId="9" fillId="3" borderId="27" xfId="0" applyFont="1" applyFill="1" applyBorder="1" applyAlignment="1">
      <alignment horizontal="right" wrapText="1"/>
    </xf>
    <xf numFmtId="0" fontId="9" fillId="3" borderId="24" xfId="0" applyFont="1" applyFill="1" applyBorder="1" applyAlignment="1">
      <alignment horizontal="right" wrapText="1"/>
    </xf>
    <xf numFmtId="3" fontId="7" fillId="3" borderId="27" xfId="0" applyNumberFormat="1" applyFont="1" applyFill="1" applyBorder="1" applyAlignment="1" applyProtection="1">
      <alignment horizontal="center" vertical="center"/>
      <protection locked="0"/>
    </xf>
    <xf numFmtId="9" fontId="7" fillId="3" borderId="27" xfId="2" applyFont="1" applyFill="1" applyBorder="1" applyAlignment="1" applyProtection="1">
      <alignment horizontal="center" vertical="center"/>
      <protection locked="0"/>
    </xf>
    <xf numFmtId="3" fontId="7" fillId="3" borderId="2" xfId="0" applyNumberFormat="1" applyFont="1" applyFill="1" applyBorder="1" applyAlignment="1" applyProtection="1">
      <alignment horizontal="center" vertical="center"/>
      <protection locked="0"/>
    </xf>
    <xf numFmtId="3" fontId="25" fillId="3" borderId="0" xfId="0" applyNumberFormat="1" applyFont="1" applyFill="1" applyAlignment="1" applyProtection="1">
      <alignment horizontal="center" vertical="center"/>
      <protection locked="0"/>
    </xf>
    <xf numFmtId="9" fontId="25" fillId="3" borderId="0" xfId="2" applyFont="1" applyFill="1" applyBorder="1" applyAlignment="1" applyProtection="1">
      <alignment horizontal="center" vertical="center"/>
      <protection locked="0"/>
    </xf>
    <xf numFmtId="1" fontId="7" fillId="3" borderId="0" xfId="0" applyNumberFormat="1" applyFont="1" applyFill="1" applyAlignment="1">
      <alignment horizontal="center"/>
    </xf>
    <xf numFmtId="3" fontId="7" fillId="3" borderId="14" xfId="0" applyNumberFormat="1" applyFont="1" applyFill="1" applyBorder="1" applyAlignment="1" applyProtection="1">
      <alignment horizontal="center" vertical="center"/>
      <protection locked="0"/>
    </xf>
    <xf numFmtId="3" fontId="25" fillId="3" borderId="14" xfId="0" applyNumberFormat="1" applyFont="1" applyFill="1" applyBorder="1" applyAlignment="1" applyProtection="1">
      <alignment horizontal="center" vertical="center"/>
      <protection locked="0"/>
    </xf>
    <xf numFmtId="1" fontId="7" fillId="3" borderId="14" xfId="0" applyNumberFormat="1" applyFont="1" applyFill="1" applyBorder="1" applyAlignment="1">
      <alignment horizontal="center"/>
    </xf>
    <xf numFmtId="3" fontId="9" fillId="3" borderId="12" xfId="0" applyNumberFormat="1" applyFont="1" applyFill="1" applyBorder="1" applyAlignment="1" applyProtection="1">
      <alignment horizontal="center" vertical="center"/>
      <protection locked="0"/>
    </xf>
    <xf numFmtId="3" fontId="9" fillId="3" borderId="12" xfId="0" applyNumberFormat="1" applyFont="1" applyFill="1" applyBorder="1" applyAlignment="1">
      <alignment horizontal="center"/>
    </xf>
    <xf numFmtId="1" fontId="9" fillId="3" borderId="24" xfId="0" applyNumberFormat="1" applyFont="1" applyFill="1" applyBorder="1" applyAlignment="1">
      <alignment horizontal="center"/>
    </xf>
    <xf numFmtId="0" fontId="5" fillId="3" borderId="27" xfId="0" applyFont="1" applyFill="1" applyBorder="1" applyAlignment="1">
      <alignment horizontal="center" vertical="top" wrapText="1"/>
    </xf>
    <xf numFmtId="9" fontId="9" fillId="3" borderId="27" xfId="2" applyFont="1" applyFill="1" applyBorder="1" applyAlignment="1">
      <alignment horizontal="center" vertical="top" wrapText="1"/>
    </xf>
    <xf numFmtId="0" fontId="41" fillId="3" borderId="27" xfId="0" applyFont="1" applyFill="1" applyBorder="1" applyAlignment="1">
      <alignment horizontal="center" vertical="top" wrapText="1"/>
    </xf>
    <xf numFmtId="1" fontId="7" fillId="3" borderId="24" xfId="0" applyNumberFormat="1" applyFont="1" applyFill="1" applyBorder="1" applyAlignment="1">
      <alignment horizontal="center"/>
    </xf>
    <xf numFmtId="0" fontId="5" fillId="2" borderId="27" xfId="0" applyFont="1" applyFill="1" applyBorder="1" applyAlignment="1">
      <alignment horizontal="left" wrapText="1"/>
    </xf>
    <xf numFmtId="0" fontId="5" fillId="2" borderId="27" xfId="0" applyFont="1" applyFill="1" applyBorder="1" applyAlignment="1">
      <alignment horizontal="right" wrapText="1"/>
    </xf>
    <xf numFmtId="0" fontId="7" fillId="0" borderId="27" xfId="0" applyFont="1" applyBorder="1" applyAlignment="1">
      <alignment horizontal="left" vertical="top"/>
    </xf>
    <xf numFmtId="0" fontId="7" fillId="0" borderId="27" xfId="0" applyFont="1" applyBorder="1" applyAlignment="1">
      <alignment horizontal="right" vertical="top"/>
    </xf>
    <xf numFmtId="0" fontId="7" fillId="0" borderId="27" xfId="0" applyFont="1" applyBorder="1" applyAlignment="1">
      <alignment horizontal="right" vertical="top" wrapText="1"/>
    </xf>
    <xf numFmtId="171" fontId="25" fillId="0" borderId="0" xfId="0" applyNumberFormat="1" applyFont="1" applyAlignment="1">
      <alignment horizontal="right" vertical="top"/>
    </xf>
    <xf numFmtId="171" fontId="25" fillId="0" borderId="24" xfId="0" applyNumberFormat="1" applyFont="1" applyBorder="1" applyAlignment="1">
      <alignment horizontal="right" vertical="top"/>
    </xf>
    <xf numFmtId="171" fontId="25" fillId="0" borderId="27" xfId="0" applyNumberFormat="1" applyFont="1" applyBorder="1" applyAlignment="1">
      <alignment horizontal="right" vertical="top"/>
    </xf>
    <xf numFmtId="171" fontId="25" fillId="0" borderId="2" xfId="0" applyNumberFormat="1" applyFont="1" applyBorder="1" applyAlignment="1">
      <alignment horizontal="right" vertical="top"/>
    </xf>
    <xf numFmtId="9" fontId="28" fillId="3" borderId="0" xfId="0" applyNumberFormat="1" applyFont="1" applyFill="1" applyAlignment="1">
      <alignment horizontal="left" vertical="center"/>
    </xf>
    <xf numFmtId="169" fontId="31" fillId="3" borderId="0" xfId="0" applyNumberFormat="1" applyFont="1" applyFill="1" applyAlignment="1">
      <alignment horizontal="left" vertical="top"/>
    </xf>
    <xf numFmtId="0" fontId="25" fillId="3" borderId="24" xfId="0" applyFont="1" applyFill="1" applyBorder="1" applyAlignment="1">
      <alignment horizontal="left" vertical="top" wrapText="1"/>
    </xf>
    <xf numFmtId="0" fontId="7" fillId="3" borderId="0" xfId="0" applyFont="1" applyFill="1" applyAlignment="1">
      <alignment horizontal="left" vertical="top" wrapText="1"/>
    </xf>
    <xf numFmtId="0" fontId="29" fillId="3" borderId="0" xfId="0" applyFont="1" applyFill="1" applyAlignment="1">
      <alignment horizontal="left" vertical="top" wrapText="1"/>
    </xf>
    <xf numFmtId="0" fontId="7" fillId="3" borderId="0" xfId="0" quotePrefix="1" applyFont="1" applyFill="1" applyAlignment="1">
      <alignment horizontal="right" vertical="top" wrapText="1"/>
    </xf>
    <xf numFmtId="0" fontId="6" fillId="3" borderId="0" xfId="0" applyFont="1" applyFill="1" applyAlignment="1">
      <alignment horizontal="left" vertical="top" wrapText="1"/>
    </xf>
    <xf numFmtId="0" fontId="4" fillId="3" borderId="0" xfId="0" applyFont="1" applyFill="1" applyAlignment="1">
      <alignment horizontal="left" vertical="top" wrapText="1"/>
    </xf>
    <xf numFmtId="0" fontId="8" fillId="3" borderId="24" xfId="0" applyFont="1" applyFill="1" applyBorder="1" applyAlignment="1">
      <alignment horizontal="left" vertical="top" wrapText="1"/>
    </xf>
    <xf numFmtId="0" fontId="11" fillId="3" borderId="0" xfId="0" applyFont="1" applyFill="1" applyAlignment="1">
      <alignment horizontal="left" vertical="top" wrapText="1"/>
    </xf>
    <xf numFmtId="0" fontId="8" fillId="3" borderId="1" xfId="0" applyFont="1" applyFill="1" applyBorder="1" applyAlignment="1">
      <alignment horizontal="left" vertical="top" wrapText="1"/>
    </xf>
    <xf numFmtId="0" fontId="4" fillId="2" borderId="0" xfId="0" applyFont="1" applyFill="1" applyAlignment="1">
      <alignment horizontal="left" vertical="top" wrapText="1"/>
    </xf>
    <xf numFmtId="0" fontId="2" fillId="2" borderId="24"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0" xfId="0" applyFont="1" applyFill="1" applyAlignment="1">
      <alignment horizontal="left" vertical="top"/>
    </xf>
    <xf numFmtId="0" fontId="2" fillId="2" borderId="24" xfId="0" applyFont="1" applyFill="1" applyBorder="1" applyAlignment="1">
      <alignment horizontal="left" wrapText="1"/>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cellXfs>
  <cellStyles count="16">
    <cellStyle name="Currency 2" xfId="1" xr:uid="{00000000-0005-0000-0000-00000000000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K2"/>
    </sheetView>
  </sheetViews>
  <sheetFormatPr defaultColWidth="9.109375" defaultRowHeight="13.8" x14ac:dyDescent="0.25"/>
  <cols>
    <col min="1" max="1" width="9.109375" style="18"/>
    <col min="2" max="2" width="9.109375" style="78"/>
    <col min="3" max="3" width="21.44140625" style="18" customWidth="1"/>
    <col min="4" max="10" width="9.109375" style="18"/>
    <col min="11" max="11" width="10.33203125" style="18" customWidth="1"/>
    <col min="12" max="12" width="9.109375" style="18"/>
    <col min="13" max="13" width="4.6640625" style="18" customWidth="1"/>
    <col min="14" max="14" width="14.6640625" style="18" customWidth="1"/>
    <col min="15" max="16384" width="9.109375" style="18"/>
  </cols>
  <sheetData>
    <row r="2" spans="2:17" ht="38.25" customHeight="1" x14ac:dyDescent="0.25">
      <c r="B2" s="314" t="s">
        <v>373</v>
      </c>
      <c r="C2" s="314"/>
      <c r="D2" s="314"/>
      <c r="E2" s="314"/>
      <c r="F2" s="314"/>
      <c r="G2" s="314"/>
      <c r="H2" s="314"/>
      <c r="I2" s="314"/>
      <c r="J2" s="314"/>
      <c r="K2" s="314"/>
      <c r="L2" s="212"/>
    </row>
    <row r="3" spans="2:17" ht="15.6" x14ac:dyDescent="0.25">
      <c r="B3" s="86" t="s">
        <v>304</v>
      </c>
    </row>
    <row r="5" spans="2:17" x14ac:dyDescent="0.25">
      <c r="B5" s="92" t="s">
        <v>52</v>
      </c>
      <c r="C5" s="13"/>
      <c r="D5" s="13"/>
      <c r="E5" s="13"/>
      <c r="F5" s="13"/>
      <c r="G5" s="13"/>
      <c r="H5" s="13"/>
      <c r="I5" s="13"/>
      <c r="J5" s="13"/>
    </row>
    <row r="6" spans="2:17" ht="32.25" customHeight="1" x14ac:dyDescent="0.25">
      <c r="B6" s="107" t="s">
        <v>38</v>
      </c>
      <c r="C6" s="316" t="s">
        <v>140</v>
      </c>
      <c r="D6" s="316"/>
      <c r="E6" s="316"/>
      <c r="F6" s="316"/>
      <c r="G6" s="316"/>
      <c r="H6" s="316"/>
      <c r="I6" s="316"/>
      <c r="J6" s="316"/>
      <c r="K6" s="316"/>
    </row>
    <row r="7" spans="2:17" x14ac:dyDescent="0.25">
      <c r="B7" s="107" t="s">
        <v>39</v>
      </c>
      <c r="C7" s="13" t="s">
        <v>53</v>
      </c>
      <c r="D7" s="13"/>
      <c r="E7" s="13"/>
      <c r="F7" s="13"/>
      <c r="G7" s="13"/>
      <c r="H7" s="13"/>
      <c r="I7" s="13"/>
      <c r="J7" s="13"/>
    </row>
    <row r="8" spans="2:17" ht="65.25" customHeight="1" x14ac:dyDescent="0.25">
      <c r="B8" s="108" t="s">
        <v>40</v>
      </c>
      <c r="C8" s="313" t="s">
        <v>404</v>
      </c>
      <c r="D8" s="313"/>
      <c r="E8" s="313"/>
      <c r="F8" s="313"/>
      <c r="G8" s="313"/>
      <c r="H8" s="313"/>
      <c r="I8" s="313"/>
      <c r="J8" s="313"/>
      <c r="K8" s="313"/>
    </row>
    <row r="9" spans="2:17" ht="18.75" customHeight="1" x14ac:dyDescent="0.25">
      <c r="B9" s="108" t="s">
        <v>41</v>
      </c>
      <c r="C9" s="313" t="s">
        <v>345</v>
      </c>
      <c r="D9" s="313"/>
      <c r="E9" s="313"/>
      <c r="F9" s="313"/>
      <c r="G9" s="313"/>
      <c r="H9" s="313"/>
      <c r="I9" s="313"/>
      <c r="J9" s="313"/>
      <c r="K9" s="313"/>
    </row>
    <row r="10" spans="2:17" x14ac:dyDescent="0.25">
      <c r="C10" s="313"/>
      <c r="D10" s="313"/>
      <c r="E10" s="313"/>
      <c r="F10" s="313"/>
      <c r="G10" s="313"/>
      <c r="H10" s="313"/>
      <c r="I10" s="313"/>
      <c r="J10" s="313"/>
      <c r="K10" s="313"/>
    </row>
    <row r="11" spans="2:17" x14ac:dyDescent="0.25">
      <c r="C11" s="313"/>
      <c r="D11" s="313"/>
      <c r="E11" s="313"/>
      <c r="F11" s="313"/>
      <c r="G11" s="313"/>
      <c r="H11" s="313"/>
      <c r="I11" s="313"/>
      <c r="J11" s="313"/>
      <c r="K11" s="313"/>
    </row>
    <row r="13" spans="2:17" x14ac:dyDescent="0.25">
      <c r="B13" s="109" t="s">
        <v>54</v>
      </c>
      <c r="O13" s="110"/>
      <c r="P13" s="110"/>
    </row>
    <row r="14" spans="2:17" ht="32.4" customHeight="1" x14ac:dyDescent="0.25">
      <c r="B14" s="111" t="s">
        <v>38</v>
      </c>
      <c r="C14" s="313" t="s">
        <v>265</v>
      </c>
      <c r="D14" s="313"/>
      <c r="E14" s="313"/>
      <c r="F14" s="313"/>
      <c r="G14" s="313"/>
      <c r="H14" s="313"/>
      <c r="I14" s="313"/>
      <c r="J14" s="313"/>
      <c r="K14" s="313"/>
      <c r="O14" s="112"/>
      <c r="P14" s="112"/>
      <c r="Q14" s="112"/>
    </row>
    <row r="15" spans="2:17" ht="45" customHeight="1" x14ac:dyDescent="0.25">
      <c r="B15" s="111" t="s">
        <v>39</v>
      </c>
      <c r="C15" s="313" t="s">
        <v>344</v>
      </c>
      <c r="D15" s="313"/>
      <c r="E15" s="313"/>
      <c r="F15" s="313"/>
      <c r="G15" s="313"/>
      <c r="H15" s="313"/>
      <c r="I15" s="313"/>
      <c r="J15" s="313"/>
      <c r="K15" s="313"/>
      <c r="O15" s="112"/>
      <c r="P15" s="112"/>
      <c r="Q15" s="112"/>
    </row>
    <row r="16" spans="2:17" ht="31.2" customHeight="1" x14ac:dyDescent="0.25">
      <c r="B16" s="111" t="s">
        <v>40</v>
      </c>
      <c r="C16" s="313" t="s">
        <v>319</v>
      </c>
      <c r="D16" s="313"/>
      <c r="E16" s="313"/>
      <c r="F16" s="313"/>
      <c r="G16" s="313"/>
      <c r="H16" s="313"/>
      <c r="I16" s="313"/>
      <c r="J16" s="313"/>
      <c r="K16" s="313"/>
      <c r="O16" s="112"/>
      <c r="P16" s="112"/>
      <c r="Q16" s="112"/>
    </row>
    <row r="17" spans="1:17" ht="31.95" customHeight="1" x14ac:dyDescent="0.25">
      <c r="B17" s="111" t="s">
        <v>41</v>
      </c>
      <c r="C17" s="313" t="s">
        <v>365</v>
      </c>
      <c r="D17" s="313"/>
      <c r="E17" s="313"/>
      <c r="F17" s="313"/>
      <c r="G17" s="313"/>
      <c r="H17" s="313"/>
      <c r="I17" s="313"/>
      <c r="J17" s="313"/>
      <c r="K17" s="313"/>
      <c r="O17" s="112"/>
      <c r="P17" s="112"/>
      <c r="Q17" s="112"/>
    </row>
    <row r="18" spans="1:17" ht="20.7" customHeight="1" x14ac:dyDescent="0.25">
      <c r="B18" s="111" t="s">
        <v>42</v>
      </c>
      <c r="C18" s="313" t="s">
        <v>119</v>
      </c>
      <c r="D18" s="313"/>
      <c r="E18" s="313"/>
      <c r="F18" s="313"/>
      <c r="G18" s="313"/>
      <c r="H18" s="313"/>
      <c r="I18" s="313"/>
      <c r="J18" s="313"/>
      <c r="K18" s="313"/>
      <c r="O18" s="112"/>
      <c r="P18" s="112"/>
      <c r="Q18" s="112"/>
    </row>
    <row r="19" spans="1:17" ht="107.25" customHeight="1" x14ac:dyDescent="0.25">
      <c r="B19" s="111" t="s">
        <v>47</v>
      </c>
      <c r="C19" s="313" t="s">
        <v>312</v>
      </c>
      <c r="D19" s="313"/>
      <c r="E19" s="313"/>
      <c r="F19" s="313"/>
      <c r="G19" s="313"/>
      <c r="H19" s="313"/>
      <c r="I19" s="313"/>
      <c r="J19" s="313"/>
      <c r="K19" s="313"/>
      <c r="L19" s="113"/>
      <c r="O19" s="112"/>
      <c r="P19" s="112"/>
      <c r="Q19" s="112"/>
    </row>
    <row r="20" spans="1:17" ht="17.399999999999999" customHeight="1" x14ac:dyDescent="0.25">
      <c r="B20" s="108" t="s">
        <v>90</v>
      </c>
      <c r="C20" s="313" t="s">
        <v>354</v>
      </c>
      <c r="D20" s="313"/>
      <c r="E20" s="313"/>
      <c r="F20" s="313"/>
      <c r="G20" s="313"/>
      <c r="H20" s="313"/>
      <c r="I20" s="313"/>
      <c r="J20" s="313"/>
      <c r="K20" s="313"/>
      <c r="O20" s="112"/>
      <c r="P20" s="112"/>
      <c r="Q20" s="112"/>
    </row>
    <row r="21" spans="1:17" ht="21.6" customHeight="1" x14ac:dyDescent="0.25">
      <c r="B21" s="108" t="s">
        <v>121</v>
      </c>
      <c r="C21" s="313" t="s">
        <v>337</v>
      </c>
      <c r="D21" s="313"/>
      <c r="E21" s="313"/>
      <c r="F21" s="313"/>
      <c r="G21" s="313"/>
      <c r="H21" s="313"/>
      <c r="I21" s="313"/>
      <c r="J21" s="313"/>
      <c r="K21" s="313"/>
      <c r="O21" s="112"/>
      <c r="P21" s="112"/>
      <c r="Q21" s="112"/>
    </row>
    <row r="22" spans="1:17" ht="16.95" customHeight="1" x14ac:dyDescent="0.25">
      <c r="B22" s="111" t="s">
        <v>147</v>
      </c>
      <c r="C22" s="313" t="s">
        <v>339</v>
      </c>
      <c r="D22" s="313"/>
      <c r="E22" s="313"/>
      <c r="F22" s="313"/>
      <c r="G22" s="313"/>
      <c r="H22" s="313"/>
      <c r="I22" s="313"/>
      <c r="J22" s="313"/>
      <c r="K22" s="313"/>
      <c r="O22" s="112"/>
      <c r="P22" s="112"/>
      <c r="Q22" s="112"/>
    </row>
    <row r="23" spans="1:17" ht="21.45" customHeight="1" x14ac:dyDescent="0.25">
      <c r="B23" s="111" t="s">
        <v>240</v>
      </c>
      <c r="C23" s="313" t="s">
        <v>366</v>
      </c>
      <c r="D23" s="313"/>
      <c r="E23" s="313"/>
      <c r="F23" s="313"/>
      <c r="G23" s="313"/>
      <c r="H23" s="313"/>
      <c r="I23" s="313"/>
      <c r="J23" s="313"/>
      <c r="K23" s="313"/>
      <c r="L23" s="113"/>
      <c r="O23" s="112"/>
      <c r="P23" s="112"/>
      <c r="Q23" s="112"/>
    </row>
    <row r="24" spans="1:17" ht="18.75" customHeight="1" x14ac:dyDescent="0.25">
      <c r="B24" s="315" t="s">
        <v>241</v>
      </c>
      <c r="C24" s="313" t="s">
        <v>100</v>
      </c>
      <c r="D24" s="313"/>
      <c r="E24" s="313"/>
      <c r="F24" s="313"/>
      <c r="G24" s="313"/>
      <c r="H24" s="313"/>
      <c r="I24" s="313"/>
      <c r="J24" s="313"/>
      <c r="K24" s="313"/>
      <c r="O24" s="112"/>
      <c r="P24" s="112"/>
      <c r="Q24" s="112"/>
    </row>
    <row r="25" spans="1:17" x14ac:dyDescent="0.25">
      <c r="B25" s="315"/>
      <c r="C25" s="313"/>
      <c r="D25" s="313"/>
      <c r="E25" s="313"/>
      <c r="F25" s="313"/>
      <c r="G25" s="313"/>
      <c r="H25" s="313"/>
      <c r="I25" s="313"/>
      <c r="J25" s="313"/>
      <c r="K25" s="313"/>
      <c r="O25" s="112"/>
      <c r="P25" s="112"/>
      <c r="Q25" s="112"/>
    </row>
    <row r="26" spans="1:17" x14ac:dyDescent="0.25">
      <c r="B26" s="315"/>
      <c r="C26" s="313"/>
      <c r="D26" s="313"/>
      <c r="E26" s="313"/>
      <c r="F26" s="313"/>
      <c r="G26" s="313"/>
      <c r="H26" s="313"/>
      <c r="I26" s="313"/>
      <c r="J26" s="313"/>
      <c r="K26" s="313"/>
      <c r="O26" s="112"/>
      <c r="P26" s="112"/>
      <c r="Q26" s="112"/>
    </row>
    <row r="27" spans="1:17" x14ac:dyDescent="0.25">
      <c r="B27" s="111" t="s">
        <v>242</v>
      </c>
      <c r="C27" s="13" t="s">
        <v>338</v>
      </c>
      <c r="D27" s="13"/>
      <c r="E27" s="13"/>
      <c r="F27" s="13"/>
      <c r="G27" s="13"/>
      <c r="H27" s="13"/>
      <c r="I27" s="13"/>
      <c r="J27" s="13"/>
      <c r="O27" s="112"/>
      <c r="P27" s="112"/>
      <c r="Q27" s="112"/>
    </row>
    <row r="28" spans="1:17" x14ac:dyDescent="0.25">
      <c r="B28" s="111"/>
      <c r="C28" s="13"/>
      <c r="D28" s="13"/>
      <c r="E28" s="13"/>
      <c r="F28" s="13"/>
      <c r="G28" s="13"/>
      <c r="H28" s="13"/>
      <c r="I28" s="13"/>
      <c r="J28" s="13"/>
      <c r="O28" s="112"/>
      <c r="P28" s="112"/>
      <c r="Q28" s="112"/>
    </row>
    <row r="29" spans="1:17" ht="17.399999999999999" x14ac:dyDescent="0.3">
      <c r="C29" s="224" t="s">
        <v>406</v>
      </c>
      <c r="D29" s="224"/>
      <c r="E29" s="224"/>
      <c r="F29" s="224"/>
      <c r="G29" s="224"/>
      <c r="H29" s="224"/>
      <c r="I29" s="224"/>
      <c r="J29" s="224"/>
      <c r="K29" s="207"/>
      <c r="O29" s="112"/>
      <c r="P29" s="112"/>
      <c r="Q29" s="112"/>
    </row>
    <row r="30" spans="1:17" ht="17.399999999999999" x14ac:dyDescent="0.3">
      <c r="C30" s="221" t="s">
        <v>405</v>
      </c>
      <c r="D30" s="221" t="s">
        <v>277</v>
      </c>
      <c r="E30" s="221"/>
      <c r="F30" s="222"/>
      <c r="G30" s="222"/>
      <c r="H30" s="222"/>
      <c r="I30" s="222"/>
      <c r="J30" s="222"/>
      <c r="K30" s="223"/>
      <c r="O30" s="112"/>
      <c r="P30" s="112"/>
      <c r="Q30" s="112"/>
    </row>
    <row r="31" spans="1:17" ht="15" customHeight="1" x14ac:dyDescent="0.25">
      <c r="A31" s="114"/>
      <c r="C31" s="89" t="s">
        <v>37</v>
      </c>
      <c r="D31" s="205" t="s">
        <v>303</v>
      </c>
      <c r="E31" s="206"/>
      <c r="F31" s="206"/>
      <c r="G31" s="206"/>
      <c r="H31" s="206"/>
      <c r="I31" s="206"/>
      <c r="J31" s="206"/>
      <c r="O31" s="112"/>
      <c r="P31" s="112"/>
      <c r="Q31" s="112"/>
    </row>
    <row r="32" spans="1:17" ht="15" customHeight="1" x14ac:dyDescent="0.25">
      <c r="C32" s="21" t="s">
        <v>151</v>
      </c>
      <c r="D32" s="55" t="s">
        <v>301</v>
      </c>
      <c r="E32" s="39"/>
      <c r="F32" s="39"/>
      <c r="G32" s="39"/>
      <c r="H32" s="39"/>
      <c r="I32" s="39"/>
      <c r="J32" s="39"/>
      <c r="O32" s="112"/>
      <c r="P32" s="112"/>
      <c r="Q32" s="112"/>
    </row>
    <row r="33" spans="3:17" ht="15" customHeight="1" x14ac:dyDescent="0.25">
      <c r="C33" s="21" t="s">
        <v>161</v>
      </c>
      <c r="D33" s="55" t="s">
        <v>363</v>
      </c>
      <c r="E33" s="39"/>
      <c r="F33" s="39"/>
      <c r="G33" s="39"/>
      <c r="H33" s="39"/>
      <c r="I33" s="39"/>
      <c r="J33" s="39"/>
      <c r="N33" s="112"/>
      <c r="O33" s="112"/>
      <c r="P33" s="112"/>
      <c r="Q33" s="112"/>
    </row>
    <row r="34" spans="3:17" ht="15" customHeight="1" x14ac:dyDescent="0.25">
      <c r="C34" s="21" t="s">
        <v>150</v>
      </c>
      <c r="D34" s="55" t="s">
        <v>302</v>
      </c>
      <c r="E34" s="39"/>
      <c r="F34" s="39"/>
      <c r="G34" s="39"/>
      <c r="H34" s="39"/>
      <c r="I34" s="39"/>
      <c r="J34" s="39"/>
    </row>
    <row r="35" spans="3:17" ht="15" customHeight="1" x14ac:dyDescent="0.25">
      <c r="C35" s="21" t="s">
        <v>210</v>
      </c>
      <c r="D35" s="55" t="s">
        <v>346</v>
      </c>
      <c r="E35" s="39"/>
      <c r="F35" s="39"/>
      <c r="G35" s="39"/>
      <c r="H35" s="39"/>
      <c r="I35" s="39"/>
      <c r="J35" s="39"/>
    </row>
    <row r="36" spans="3:17" ht="15" customHeight="1" x14ac:dyDescent="0.25">
      <c r="C36" s="21" t="s">
        <v>152</v>
      </c>
      <c r="D36" s="55" t="s">
        <v>264</v>
      </c>
      <c r="E36" s="39"/>
      <c r="F36" s="39"/>
      <c r="G36" s="39"/>
      <c r="H36" s="39"/>
      <c r="I36" s="39"/>
      <c r="J36" s="39"/>
    </row>
    <row r="37" spans="3:17" ht="15" customHeight="1" x14ac:dyDescent="0.25">
      <c r="C37" s="21" t="s">
        <v>153</v>
      </c>
      <c r="D37" s="55" t="s">
        <v>364</v>
      </c>
      <c r="E37" s="39"/>
      <c r="F37" s="39"/>
      <c r="G37" s="39"/>
      <c r="H37" s="39"/>
      <c r="I37" s="39"/>
      <c r="J37" s="39"/>
    </row>
    <row r="38" spans="3:17" ht="39" customHeight="1" x14ac:dyDescent="0.25">
      <c r="C38" s="44" t="s">
        <v>4</v>
      </c>
      <c r="D38" s="312" t="s">
        <v>367</v>
      </c>
      <c r="E38" s="312"/>
      <c r="F38" s="312"/>
      <c r="G38" s="312"/>
      <c r="H38" s="312"/>
      <c r="I38" s="312"/>
      <c r="J38" s="312"/>
      <c r="K38" s="312"/>
    </row>
    <row r="39" spans="3:17" ht="10.199999999999999" customHeight="1" x14ac:dyDescent="0.25">
      <c r="C39" s="13"/>
      <c r="D39" s="13"/>
      <c r="E39" s="13"/>
      <c r="F39" s="13"/>
      <c r="G39" s="13"/>
      <c r="H39" s="13"/>
      <c r="I39" s="13"/>
      <c r="J39" s="13"/>
      <c r="O39" s="112"/>
      <c r="P39" s="112"/>
      <c r="Q39" s="112"/>
    </row>
    <row r="40" spans="3:17" x14ac:dyDescent="0.25">
      <c r="C40" s="115"/>
      <c r="D40" s="115"/>
      <c r="E40" s="115"/>
      <c r="F40" s="115"/>
      <c r="G40" s="115"/>
      <c r="H40" s="115"/>
      <c r="I40" s="115"/>
      <c r="J40" s="115"/>
      <c r="K40" s="115"/>
    </row>
  </sheetData>
  <mergeCells count="17">
    <mergeCell ref="B2:K2"/>
    <mergeCell ref="B24:B26"/>
    <mergeCell ref="C6:K6"/>
    <mergeCell ref="C16:K16"/>
    <mergeCell ref="C15:K15"/>
    <mergeCell ref="C17:K17"/>
    <mergeCell ref="C8:K8"/>
    <mergeCell ref="C24:K26"/>
    <mergeCell ref="C19:K19"/>
    <mergeCell ref="D38:K38"/>
    <mergeCell ref="C9:K11"/>
    <mergeCell ref="C14:K14"/>
    <mergeCell ref="C18:K18"/>
    <mergeCell ref="C22:K22"/>
    <mergeCell ref="C23:K23"/>
    <mergeCell ref="C20:K20"/>
    <mergeCell ref="C21:K21"/>
  </mergeCells>
  <phoneticPr fontId="18"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9"/>
  <sheetViews>
    <sheetView workbookViewId="0">
      <selection activeCell="B2" sqref="B2:H2"/>
    </sheetView>
  </sheetViews>
  <sheetFormatPr defaultColWidth="23.109375" defaultRowHeight="15.6" x14ac:dyDescent="0.3"/>
  <cols>
    <col min="1" max="1" width="9.109375" style="38" customWidth="1"/>
    <col min="2" max="2" width="27.88671875" style="11" customWidth="1"/>
    <col min="3" max="3" width="16.44140625" style="11" customWidth="1"/>
    <col min="4" max="4" width="14.44140625" style="11" customWidth="1"/>
    <col min="5" max="5" width="16.88671875" style="11" customWidth="1"/>
    <col min="6" max="6" width="12.44140625" style="11" customWidth="1"/>
    <col min="7" max="7" width="16" style="11" customWidth="1"/>
    <col min="8" max="8" width="17.44140625" style="11" customWidth="1"/>
    <col min="9" max="9" width="4.44140625" style="18" customWidth="1"/>
    <col min="10" max="248" width="9.109375" style="38" customWidth="1"/>
    <col min="249" max="249" width="25" style="38" customWidth="1"/>
    <col min="250" max="16384" width="23.109375" style="38"/>
  </cols>
  <sheetData>
    <row r="2" spans="2:8" ht="22.2" customHeight="1" x14ac:dyDescent="0.3">
      <c r="B2" s="318" t="s">
        <v>481</v>
      </c>
      <c r="C2" s="318"/>
      <c r="D2" s="318"/>
      <c r="E2" s="318"/>
      <c r="F2" s="318"/>
      <c r="G2" s="318"/>
      <c r="H2" s="318"/>
    </row>
    <row r="3" spans="2:8" ht="50.4" customHeight="1" x14ac:dyDescent="0.3">
      <c r="B3" s="243" t="s">
        <v>482</v>
      </c>
      <c r="C3" s="297" t="s">
        <v>483</v>
      </c>
      <c r="D3" s="244" t="s">
        <v>203</v>
      </c>
      <c r="E3" s="298" t="s">
        <v>484</v>
      </c>
      <c r="F3" s="244" t="s">
        <v>205</v>
      </c>
      <c r="G3" s="244" t="s">
        <v>204</v>
      </c>
      <c r="H3" s="299" t="s">
        <v>223</v>
      </c>
    </row>
    <row r="4" spans="2:8" x14ac:dyDescent="0.3">
      <c r="B4" s="19" t="s">
        <v>143</v>
      </c>
      <c r="C4" s="287">
        <f>'App2. Mach Etc Req'!F4</f>
        <v>150000</v>
      </c>
      <c r="D4" s="288">
        <v>30</v>
      </c>
      <c r="E4" s="289">
        <v>0</v>
      </c>
      <c r="F4" s="29">
        <f>E4*C4</f>
        <v>0</v>
      </c>
      <c r="G4" s="290">
        <f t="shared" ref="G4:G19" si="0">(C4-F4)/D4</f>
        <v>5000</v>
      </c>
      <c r="H4" s="290">
        <f>G4/'App9. Data for tables'!$H$80</f>
        <v>16.666666666666668</v>
      </c>
    </row>
    <row r="5" spans="2:8" ht="17.399999999999999" x14ac:dyDescent="0.3">
      <c r="B5" s="19" t="s">
        <v>193</v>
      </c>
      <c r="C5" s="29">
        <f>'App2. Mach Etc Req'!F5</f>
        <v>150000</v>
      </c>
      <c r="D5" s="288">
        <v>30</v>
      </c>
      <c r="E5" s="289">
        <v>0</v>
      </c>
      <c r="F5" s="29">
        <f t="shared" ref="F5:F19" si="1">E5*C5</f>
        <v>0</v>
      </c>
      <c r="G5" s="290">
        <f t="shared" si="0"/>
        <v>5000</v>
      </c>
      <c r="H5" s="290">
        <f>G5/'App9. Data for tables'!$H$80</f>
        <v>16.666666666666668</v>
      </c>
    </row>
    <row r="6" spans="2:8" x14ac:dyDescent="0.3">
      <c r="B6" s="19" t="s">
        <v>49</v>
      </c>
      <c r="C6" s="29">
        <f>'App2. Mach Etc Req'!F6</f>
        <v>250000</v>
      </c>
      <c r="D6" s="288">
        <v>10</v>
      </c>
      <c r="E6" s="289">
        <v>0.1</v>
      </c>
      <c r="F6" s="29">
        <f t="shared" si="1"/>
        <v>25000</v>
      </c>
      <c r="G6" s="290">
        <f t="shared" si="0"/>
        <v>22500</v>
      </c>
      <c r="H6" s="290">
        <f>G6/'App9. Data for tables'!$H$80</f>
        <v>75</v>
      </c>
    </row>
    <row r="7" spans="2:8" x14ac:dyDescent="0.3">
      <c r="B7" s="19" t="s">
        <v>50</v>
      </c>
      <c r="C7" s="29">
        <f>'App2. Mach Etc Req'!F7</f>
        <v>55000</v>
      </c>
      <c r="D7" s="288">
        <v>10</v>
      </c>
      <c r="E7" s="289">
        <v>0.1</v>
      </c>
      <c r="F7" s="29">
        <f t="shared" si="1"/>
        <v>5500</v>
      </c>
      <c r="G7" s="290">
        <f t="shared" si="0"/>
        <v>4950</v>
      </c>
      <c r="H7" s="290">
        <f>G7/'App9. Data for tables'!$H$80</f>
        <v>16.5</v>
      </c>
    </row>
    <row r="8" spans="2:8" x14ac:dyDescent="0.3">
      <c r="B8" s="19" t="s">
        <v>25</v>
      </c>
      <c r="C8" s="29">
        <f>'App2. Mach Etc Req'!F8</f>
        <v>24000</v>
      </c>
      <c r="D8" s="288">
        <v>5</v>
      </c>
      <c r="E8" s="289">
        <v>0.1</v>
      </c>
      <c r="F8" s="29">
        <f t="shared" si="1"/>
        <v>2400</v>
      </c>
      <c r="G8" s="290">
        <f t="shared" si="0"/>
        <v>4320</v>
      </c>
      <c r="H8" s="290">
        <f>G8/'App9. Data for tables'!$H$80</f>
        <v>14.4</v>
      </c>
    </row>
    <row r="9" spans="2:8" x14ac:dyDescent="0.3">
      <c r="B9" s="19" t="s">
        <v>43</v>
      </c>
      <c r="C9" s="29">
        <f>'App2. Mach Etc Req'!F9</f>
        <v>150000</v>
      </c>
      <c r="D9" s="288">
        <v>10</v>
      </c>
      <c r="E9" s="289">
        <v>0.1</v>
      </c>
      <c r="F9" s="29">
        <f t="shared" si="1"/>
        <v>15000</v>
      </c>
      <c r="G9" s="290">
        <f t="shared" si="0"/>
        <v>13500</v>
      </c>
      <c r="H9" s="290">
        <f>G9/'App9. Data for tables'!$H$80</f>
        <v>45</v>
      </c>
    </row>
    <row r="10" spans="2:8" x14ac:dyDescent="0.3">
      <c r="B10" s="19" t="s">
        <v>44</v>
      </c>
      <c r="C10" s="29">
        <f>'App2. Mach Etc Req'!F10</f>
        <v>7000</v>
      </c>
      <c r="D10" s="288">
        <v>10</v>
      </c>
      <c r="E10" s="289">
        <v>0.1</v>
      </c>
      <c r="F10" s="29">
        <f t="shared" si="1"/>
        <v>700</v>
      </c>
      <c r="G10" s="290">
        <f t="shared" si="0"/>
        <v>630</v>
      </c>
      <c r="H10" s="290">
        <f>G10/'App9. Data for tables'!$H$80</f>
        <v>2.1</v>
      </c>
    </row>
    <row r="11" spans="2:8" x14ac:dyDescent="0.3">
      <c r="B11" s="19" t="s">
        <v>148</v>
      </c>
      <c r="C11" s="29">
        <f>'App2. Mach Etc Req'!F11</f>
        <v>7500</v>
      </c>
      <c r="D11" s="288">
        <v>10</v>
      </c>
      <c r="E11" s="289">
        <v>0.1</v>
      </c>
      <c r="F11" s="29">
        <f t="shared" si="1"/>
        <v>750</v>
      </c>
      <c r="G11" s="290">
        <f t="shared" si="0"/>
        <v>675</v>
      </c>
      <c r="H11" s="290">
        <f>G11/'App9. Data for tables'!$H$80</f>
        <v>2.25</v>
      </c>
    </row>
    <row r="12" spans="2:8" x14ac:dyDescent="0.3">
      <c r="B12" s="19" t="s">
        <v>96</v>
      </c>
      <c r="C12" s="29">
        <f>'App2. Mach Etc Req'!F12</f>
        <v>9000</v>
      </c>
      <c r="D12" s="288">
        <v>10</v>
      </c>
      <c r="E12" s="289">
        <v>0.1</v>
      </c>
      <c r="F12" s="29">
        <f t="shared" si="1"/>
        <v>900</v>
      </c>
      <c r="G12" s="290">
        <f t="shared" si="0"/>
        <v>810</v>
      </c>
      <c r="H12" s="290">
        <f>G12/'App9. Data for tables'!$H$80</f>
        <v>2.7</v>
      </c>
    </row>
    <row r="13" spans="2:8" x14ac:dyDescent="0.3">
      <c r="B13" s="19" t="s">
        <v>45</v>
      </c>
      <c r="C13" s="29">
        <f>'App2. Mach Etc Req'!F13</f>
        <v>60000</v>
      </c>
      <c r="D13" s="288">
        <v>10</v>
      </c>
      <c r="E13" s="289">
        <v>0.1</v>
      </c>
      <c r="F13" s="29">
        <f t="shared" si="1"/>
        <v>6000</v>
      </c>
      <c r="G13" s="290">
        <f t="shared" si="0"/>
        <v>5400</v>
      </c>
      <c r="H13" s="290">
        <f>G13/'App9. Data for tables'!$H$80</f>
        <v>18</v>
      </c>
    </row>
    <row r="14" spans="2:8" x14ac:dyDescent="0.3">
      <c r="B14" s="33" t="s">
        <v>46</v>
      </c>
      <c r="C14" s="29">
        <f>'App2. Mach Etc Req'!F14</f>
        <v>22500</v>
      </c>
      <c r="D14" s="288">
        <v>10</v>
      </c>
      <c r="E14" s="289">
        <v>0.1</v>
      </c>
      <c r="F14" s="29">
        <f t="shared" si="1"/>
        <v>2250</v>
      </c>
      <c r="G14" s="290">
        <f t="shared" si="0"/>
        <v>2025</v>
      </c>
      <c r="H14" s="290">
        <f>G14/'App9. Data for tables'!$H$80</f>
        <v>6.75</v>
      </c>
    </row>
    <row r="15" spans="2:8" x14ac:dyDescent="0.3">
      <c r="B15" s="33" t="s">
        <v>110</v>
      </c>
      <c r="C15" s="29">
        <f>'App2. Mach Etc Req'!F15</f>
        <v>45000</v>
      </c>
      <c r="D15" s="288">
        <v>10</v>
      </c>
      <c r="E15" s="289">
        <v>0.1</v>
      </c>
      <c r="F15" s="29">
        <f t="shared" si="1"/>
        <v>4500</v>
      </c>
      <c r="G15" s="290">
        <f t="shared" si="0"/>
        <v>4050</v>
      </c>
      <c r="H15" s="290">
        <f>G15/'App9. Data for tables'!$H$80</f>
        <v>13.5</v>
      </c>
    </row>
    <row r="16" spans="2:8" x14ac:dyDescent="0.3">
      <c r="B16" s="33" t="s">
        <v>58</v>
      </c>
      <c r="C16" s="29">
        <f>'App2. Mach Etc Req'!F16</f>
        <v>13000</v>
      </c>
      <c r="D16" s="288">
        <v>10</v>
      </c>
      <c r="E16" s="289">
        <v>0.1</v>
      </c>
      <c r="F16" s="29">
        <f t="shared" si="1"/>
        <v>1300</v>
      </c>
      <c r="G16" s="290">
        <f t="shared" si="0"/>
        <v>1170</v>
      </c>
      <c r="H16" s="290">
        <f>G16/'App9. Data for tables'!$H$80</f>
        <v>3.9</v>
      </c>
    </row>
    <row r="17" spans="2:9" x14ac:dyDescent="0.3">
      <c r="B17" s="33" t="s">
        <v>218</v>
      </c>
      <c r="C17" s="29">
        <f>'App2. Mach Etc Req'!F17</f>
        <v>180000</v>
      </c>
      <c r="D17" s="288">
        <v>10</v>
      </c>
      <c r="E17" s="289">
        <v>0.1</v>
      </c>
      <c r="F17" s="29">
        <f t="shared" si="1"/>
        <v>18000</v>
      </c>
      <c r="G17" s="290">
        <f t="shared" si="0"/>
        <v>16200</v>
      </c>
      <c r="H17" s="290">
        <f>G17/'App9. Data for tables'!$H$80</f>
        <v>54</v>
      </c>
    </row>
    <row r="18" spans="2:9" ht="17.399999999999999" x14ac:dyDescent="0.3">
      <c r="B18" s="33" t="s">
        <v>194</v>
      </c>
      <c r="C18" s="29">
        <f>'App2. Mach Etc Req'!F18</f>
        <v>50000</v>
      </c>
      <c r="D18" s="288">
        <v>10</v>
      </c>
      <c r="E18" s="289">
        <v>0.1</v>
      </c>
      <c r="F18" s="29">
        <f t="shared" si="1"/>
        <v>5000</v>
      </c>
      <c r="G18" s="290">
        <f t="shared" si="0"/>
        <v>4500</v>
      </c>
      <c r="H18" s="290">
        <f>G18/'App9. Data for tables'!$H$80</f>
        <v>15</v>
      </c>
    </row>
    <row r="19" spans="2:9" ht="17.399999999999999" x14ac:dyDescent="0.3">
      <c r="B19" s="33" t="s">
        <v>195</v>
      </c>
      <c r="C19" s="291">
        <f>'App2. Mach Etc Req'!F19</f>
        <v>15000</v>
      </c>
      <c r="D19" s="292">
        <v>10</v>
      </c>
      <c r="E19" s="289">
        <v>0.1</v>
      </c>
      <c r="F19" s="291">
        <f t="shared" si="1"/>
        <v>1500</v>
      </c>
      <c r="G19" s="293">
        <f t="shared" si="0"/>
        <v>1350</v>
      </c>
      <c r="H19" s="300">
        <f>G19/'App9. Data for tables'!$H$80</f>
        <v>4.5</v>
      </c>
    </row>
    <row r="20" spans="2:9" x14ac:dyDescent="0.3">
      <c r="B20" s="56" t="s">
        <v>63</v>
      </c>
      <c r="C20" s="294">
        <f>SUM(C4:C19)</f>
        <v>1188000</v>
      </c>
      <c r="D20" s="285" t="s">
        <v>458</v>
      </c>
      <c r="E20" s="286" t="s">
        <v>458</v>
      </c>
      <c r="F20" s="294">
        <f>SUM(F4:F19)</f>
        <v>88800</v>
      </c>
      <c r="G20" s="295">
        <f>SUM(G4:G19)</f>
        <v>92080</v>
      </c>
      <c r="H20" s="296">
        <f>G20/'App9. Data for tables'!$H$80</f>
        <v>306.93333333333334</v>
      </c>
    </row>
    <row r="21" spans="2:9" x14ac:dyDescent="0.3">
      <c r="B21" s="16" t="s">
        <v>132</v>
      </c>
      <c r="C21" s="46"/>
      <c r="D21" s="46"/>
      <c r="E21" s="47"/>
      <c r="F21" s="47"/>
      <c r="G21" s="16"/>
      <c r="H21" s="22"/>
    </row>
    <row r="22" spans="2:9" s="85" customFormat="1" x14ac:dyDescent="0.3">
      <c r="B22" s="58" t="s">
        <v>196</v>
      </c>
      <c r="C22" s="82"/>
      <c r="D22" s="82"/>
      <c r="E22" s="83"/>
      <c r="F22" s="83"/>
      <c r="G22" s="58"/>
      <c r="H22" s="84"/>
      <c r="I22" s="78"/>
    </row>
    <row r="23" spans="2:9" s="85" customFormat="1" ht="28.2" customHeight="1" x14ac:dyDescent="0.3">
      <c r="B23" s="319" t="s">
        <v>197</v>
      </c>
      <c r="C23" s="319"/>
      <c r="D23" s="319"/>
      <c r="E23" s="319"/>
      <c r="F23" s="319"/>
      <c r="G23" s="319"/>
      <c r="H23" s="319"/>
      <c r="I23" s="78"/>
    </row>
    <row r="24" spans="2:9" s="85" customFormat="1" x14ac:dyDescent="0.3">
      <c r="B24" s="58" t="s">
        <v>198</v>
      </c>
      <c r="C24" s="82"/>
      <c r="D24" s="82"/>
      <c r="E24" s="83"/>
      <c r="F24" s="83"/>
      <c r="G24" s="58"/>
      <c r="H24" s="84"/>
      <c r="I24" s="78"/>
    </row>
    <row r="25" spans="2:9" s="85" customFormat="1" x14ac:dyDescent="0.3">
      <c r="B25" s="58" t="s">
        <v>199</v>
      </c>
      <c r="C25" s="82"/>
      <c r="D25" s="82"/>
      <c r="E25" s="83"/>
      <c r="F25" s="83"/>
      <c r="G25" s="58"/>
      <c r="H25" s="84"/>
      <c r="I25" s="78"/>
    </row>
    <row r="26" spans="2:9" s="85" customFormat="1" x14ac:dyDescent="0.3">
      <c r="B26" s="84" t="s">
        <v>200</v>
      </c>
      <c r="C26" s="82"/>
      <c r="D26" s="82"/>
      <c r="E26" s="83"/>
      <c r="F26" s="83"/>
      <c r="G26" s="58"/>
      <c r="H26" s="84"/>
      <c r="I26" s="78"/>
    </row>
    <row r="27" spans="2:9" s="85" customFormat="1" ht="32.700000000000003" customHeight="1" x14ac:dyDescent="0.3">
      <c r="B27" s="319" t="s">
        <v>201</v>
      </c>
      <c r="C27" s="319"/>
      <c r="D27" s="319"/>
      <c r="E27" s="319"/>
      <c r="F27" s="319"/>
      <c r="G27" s="319"/>
      <c r="H27" s="319"/>
      <c r="I27" s="78"/>
    </row>
    <row r="28" spans="2:9" s="85" customFormat="1" x14ac:dyDescent="0.3">
      <c r="B28" s="58" t="s">
        <v>202</v>
      </c>
      <c r="C28" s="82"/>
      <c r="D28" s="82"/>
      <c r="E28" s="83"/>
      <c r="F28" s="83"/>
      <c r="G28" s="58"/>
      <c r="H28" s="84"/>
      <c r="I28" s="78"/>
    </row>
    <row r="29" spans="2:9" s="85" customFormat="1" x14ac:dyDescent="0.3">
      <c r="B29" s="84" t="s">
        <v>224</v>
      </c>
      <c r="C29" s="86"/>
      <c r="D29" s="86"/>
      <c r="E29" s="86"/>
      <c r="F29" s="86"/>
      <c r="G29" s="86"/>
      <c r="H29" s="86"/>
      <c r="I29" s="87"/>
    </row>
  </sheetData>
  <protectedRanges>
    <protectedRange sqref="D4:E19" name="Range"/>
  </protectedRanges>
  <mergeCells count="3">
    <mergeCell ref="B2:H2"/>
    <mergeCell ref="B27:H27"/>
    <mergeCell ref="B23:H23"/>
  </mergeCells>
  <pageMargins left="0.7" right="0.7" top="0.75" bottom="0.75" header="0.3" footer="0.3"/>
  <pageSetup orientation="portrait" r:id="rId1"/>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9"/>
  <sheetViews>
    <sheetView workbookViewId="0">
      <selection activeCell="B2" sqref="B2:C2"/>
    </sheetView>
  </sheetViews>
  <sheetFormatPr defaultColWidth="9.109375" defaultRowHeight="13.8" x14ac:dyDescent="0.25"/>
  <cols>
    <col min="1" max="1" width="6.6640625" style="2" customWidth="1"/>
    <col min="2" max="2" width="30.44140625" style="2" bestFit="1" customWidth="1"/>
    <col min="3" max="3" width="14" style="2" customWidth="1"/>
    <col min="4" max="16384" width="9.109375" style="2"/>
  </cols>
  <sheetData>
    <row r="2" spans="2:4" ht="36" customHeight="1" x14ac:dyDescent="0.3">
      <c r="B2" s="327" t="s">
        <v>485</v>
      </c>
      <c r="C2" s="327"/>
    </row>
    <row r="3" spans="2:4" s="7" customFormat="1" ht="21" customHeight="1" x14ac:dyDescent="0.25">
      <c r="B3" s="301" t="s">
        <v>486</v>
      </c>
      <c r="C3" s="302" t="s">
        <v>487</v>
      </c>
    </row>
    <row r="4" spans="2:4" x14ac:dyDescent="0.25">
      <c r="B4" s="2" t="s">
        <v>34</v>
      </c>
      <c r="C4" s="30">
        <f>'Granny Smith-Angled V Budget'!H59</f>
        <v>78665.224572679726</v>
      </c>
    </row>
    <row r="5" spans="2:4" ht="16.8" x14ac:dyDescent="0.25">
      <c r="B5" s="7" t="s">
        <v>191</v>
      </c>
      <c r="C5" s="37">
        <f>20-5</f>
        <v>15</v>
      </c>
      <c r="D5" s="9"/>
    </row>
    <row r="6" spans="2:4" x14ac:dyDescent="0.25">
      <c r="B6" s="2" t="s">
        <v>29</v>
      </c>
      <c r="C6" s="67">
        <f>'App9. Data for tables'!$H$74</f>
        <v>0.05</v>
      </c>
    </row>
    <row r="7" spans="2:4" x14ac:dyDescent="0.25">
      <c r="C7" s="10"/>
    </row>
    <row r="8" spans="2:4" x14ac:dyDescent="0.25">
      <c r="B8" s="6" t="s">
        <v>35</v>
      </c>
      <c r="C8" s="31">
        <f>IF(C5=0," ",PMT(C6,C5,C4))</f>
        <v>-7578.7876906269075</v>
      </c>
    </row>
    <row r="9" spans="2:4" x14ac:dyDescent="0.25">
      <c r="B9" s="8" t="s">
        <v>192</v>
      </c>
    </row>
  </sheetData>
  <protectedRanges>
    <protectedRange sqref="C5:C6" name="Range1"/>
  </protectedRanges>
  <mergeCells count="1">
    <mergeCell ref="B2:C2"/>
  </mergeCells>
  <phoneticPr fontId="18"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86"/>
  <sheetViews>
    <sheetView zoomScaleNormal="100" workbookViewId="0"/>
  </sheetViews>
  <sheetFormatPr defaultColWidth="8.6640625" defaultRowHeight="14.4" x14ac:dyDescent="0.3"/>
  <cols>
    <col min="1" max="1" width="22.6640625" style="124" customWidth="1"/>
    <col min="2" max="2" width="47.109375" style="124" customWidth="1"/>
    <col min="3" max="3" width="11.6640625" style="144" customWidth="1"/>
    <col min="4" max="4" width="9.6640625" style="144" customWidth="1"/>
    <col min="5" max="5" width="10.33203125" style="144" customWidth="1"/>
    <col min="6" max="6" width="11.33203125" style="144" customWidth="1"/>
    <col min="7" max="7" width="12.109375" style="144" customWidth="1"/>
    <col min="8" max="8" width="16.6640625" style="144" customWidth="1"/>
    <col min="9" max="9" width="66" style="124" customWidth="1"/>
    <col min="10" max="10" width="15.33203125" customWidth="1"/>
    <col min="11" max="16384" width="8.6640625" style="124"/>
  </cols>
  <sheetData>
    <row r="1" spans="1:9" ht="17.399999999999999" x14ac:dyDescent="0.3">
      <c r="A1" s="121" t="s">
        <v>488</v>
      </c>
      <c r="B1" s="121"/>
      <c r="C1" s="122"/>
      <c r="D1" s="122"/>
      <c r="E1" s="122"/>
      <c r="F1" s="122"/>
      <c r="G1" s="122"/>
      <c r="H1" s="122"/>
      <c r="I1" s="123"/>
    </row>
    <row r="2" spans="1:9" ht="27.6" x14ac:dyDescent="0.3">
      <c r="A2" s="139" t="s">
        <v>489</v>
      </c>
      <c r="B2" s="303" t="s">
        <v>277</v>
      </c>
      <c r="C2" s="304" t="s">
        <v>22</v>
      </c>
      <c r="D2" s="304" t="s">
        <v>1</v>
      </c>
      <c r="E2" s="304" t="s">
        <v>2</v>
      </c>
      <c r="F2" s="304" t="s">
        <v>3</v>
      </c>
      <c r="G2" s="304" t="s">
        <v>21</v>
      </c>
      <c r="H2" s="305" t="s">
        <v>141</v>
      </c>
      <c r="I2" s="125" t="s">
        <v>122</v>
      </c>
    </row>
    <row r="3" spans="1:9" ht="27.6" x14ac:dyDescent="0.3">
      <c r="A3" s="126" t="s">
        <v>261</v>
      </c>
      <c r="B3" s="127" t="s">
        <v>263</v>
      </c>
      <c r="C3" s="306">
        <v>0</v>
      </c>
      <c r="D3" s="306">
        <v>0</v>
      </c>
      <c r="E3" s="129">
        <v>26</v>
      </c>
      <c r="F3" s="129">
        <f>$E$3</f>
        <v>26</v>
      </c>
      <c r="G3" s="129">
        <f>$F$3</f>
        <v>26</v>
      </c>
      <c r="H3" s="129">
        <f>$F$3</f>
        <v>26</v>
      </c>
      <c r="I3" s="130" t="s">
        <v>351</v>
      </c>
    </row>
    <row r="4" spans="1:9" ht="15" customHeight="1" x14ac:dyDescent="0.3">
      <c r="A4" s="131" t="s">
        <v>261</v>
      </c>
      <c r="B4" s="127" t="s">
        <v>262</v>
      </c>
      <c r="C4" s="306">
        <v>0</v>
      </c>
      <c r="D4" s="306">
        <v>0</v>
      </c>
      <c r="E4" s="129">
        <f>+E3*E64</f>
        <v>455</v>
      </c>
      <c r="F4" s="129">
        <f>+F3*F64</f>
        <v>455</v>
      </c>
      <c r="G4" s="129">
        <f>+G3*G64</f>
        <v>455</v>
      </c>
      <c r="H4" s="129">
        <f>+H3*H64</f>
        <v>455</v>
      </c>
      <c r="I4" s="132"/>
    </row>
    <row r="5" spans="1:9" ht="15" customHeight="1" x14ac:dyDescent="0.3">
      <c r="A5" s="131" t="s">
        <v>146</v>
      </c>
      <c r="B5" s="133" t="s">
        <v>299</v>
      </c>
      <c r="C5" s="306">
        <v>0</v>
      </c>
      <c r="D5" s="306">
        <v>0</v>
      </c>
      <c r="E5" s="134">
        <v>38033.75</v>
      </c>
      <c r="F5" s="134">
        <v>54333.75</v>
      </c>
      <c r="G5" s="134">
        <v>70633.75</v>
      </c>
      <c r="H5" s="134">
        <v>86933.75</v>
      </c>
      <c r="I5" s="132"/>
    </row>
    <row r="6" spans="1:9" ht="15" customHeight="1" x14ac:dyDescent="0.3">
      <c r="A6" s="131" t="s">
        <v>146</v>
      </c>
      <c r="B6" s="125" t="s">
        <v>305</v>
      </c>
      <c r="C6" s="306">
        <v>0</v>
      </c>
      <c r="D6" s="306">
        <v>0</v>
      </c>
      <c r="E6" s="134">
        <f t="shared" ref="E6" si="0">E5/2000</f>
        <v>19.016874999999999</v>
      </c>
      <c r="F6" s="134">
        <f t="shared" ref="F6:H6" si="1">F5/2000</f>
        <v>27.166875000000001</v>
      </c>
      <c r="G6" s="134">
        <f t="shared" si="1"/>
        <v>35.316875000000003</v>
      </c>
      <c r="H6" s="134">
        <f t="shared" si="1"/>
        <v>43.466875000000002</v>
      </c>
      <c r="I6" s="132"/>
    </row>
    <row r="7" spans="1:9" ht="31.2" customHeight="1" x14ac:dyDescent="0.3">
      <c r="A7" s="135" t="s">
        <v>146</v>
      </c>
      <c r="B7" s="136" t="s">
        <v>300</v>
      </c>
      <c r="C7" s="306">
        <v>0</v>
      </c>
      <c r="D7" s="307">
        <v>0</v>
      </c>
      <c r="E7" s="137">
        <f>ROUND((E$5/E$63),0)</f>
        <v>43</v>
      </c>
      <c r="F7" s="137">
        <f>ROUND((F$5/F$63),0)</f>
        <v>62</v>
      </c>
      <c r="G7" s="137">
        <f>ROUND((G$5/G$63),0)</f>
        <v>81</v>
      </c>
      <c r="H7" s="137">
        <f>ROUND((H$5/H$63),0)</f>
        <v>99</v>
      </c>
      <c r="I7" s="138" t="s">
        <v>347</v>
      </c>
    </row>
    <row r="8" spans="1:9" ht="27.6" x14ac:dyDescent="0.3">
      <c r="A8" s="139" t="s">
        <v>13</v>
      </c>
      <c r="B8" s="140" t="s">
        <v>306</v>
      </c>
      <c r="C8" s="141">
        <v>20000</v>
      </c>
      <c r="D8" s="308">
        <v>0</v>
      </c>
      <c r="E8" s="308">
        <v>0</v>
      </c>
      <c r="F8" s="308">
        <v>0</v>
      </c>
      <c r="G8" s="308">
        <v>0</v>
      </c>
      <c r="H8" s="308">
        <v>0</v>
      </c>
      <c r="I8" s="142" t="s">
        <v>348</v>
      </c>
    </row>
    <row r="9" spans="1:9" x14ac:dyDescent="0.3">
      <c r="A9" s="143" t="s">
        <v>66</v>
      </c>
      <c r="B9" s="125" t="s">
        <v>123</v>
      </c>
      <c r="C9" s="129">
        <v>12</v>
      </c>
      <c r="D9" s="309">
        <v>0</v>
      </c>
      <c r="E9" s="309">
        <v>0</v>
      </c>
      <c r="F9" s="309">
        <v>0</v>
      </c>
      <c r="G9" s="309">
        <v>0</v>
      </c>
      <c r="H9" s="309">
        <v>0</v>
      </c>
      <c r="I9" s="125"/>
    </row>
    <row r="10" spans="1:9" x14ac:dyDescent="0.3">
      <c r="A10" s="143" t="s">
        <v>66</v>
      </c>
      <c r="B10" s="125" t="s">
        <v>124</v>
      </c>
      <c r="C10" s="129">
        <v>1000</v>
      </c>
      <c r="D10" s="306">
        <v>0</v>
      </c>
      <c r="E10" s="306">
        <v>0</v>
      </c>
      <c r="F10" s="306">
        <v>0</v>
      </c>
      <c r="G10" s="306">
        <v>0</v>
      </c>
      <c r="H10" s="306">
        <v>0</v>
      </c>
      <c r="I10" s="125"/>
    </row>
    <row r="11" spans="1:9" x14ac:dyDescent="0.3">
      <c r="A11" s="143" t="s">
        <v>66</v>
      </c>
      <c r="B11" s="125" t="s">
        <v>211</v>
      </c>
      <c r="C11" s="129">
        <v>180</v>
      </c>
      <c r="D11" s="306">
        <v>0</v>
      </c>
      <c r="E11" s="306">
        <v>0</v>
      </c>
      <c r="F11" s="306">
        <v>0</v>
      </c>
      <c r="G11" s="306">
        <v>0</v>
      </c>
      <c r="H11" s="306">
        <v>0</v>
      </c>
      <c r="I11" s="125"/>
    </row>
    <row r="12" spans="1:9" ht="18.75" customHeight="1" x14ac:dyDescent="0.3">
      <c r="A12" s="143" t="s">
        <v>66</v>
      </c>
      <c r="B12" s="125" t="s">
        <v>212</v>
      </c>
      <c r="C12" s="129">
        <v>300</v>
      </c>
      <c r="D12" s="306">
        <v>0</v>
      </c>
      <c r="E12" s="306">
        <v>0</v>
      </c>
      <c r="F12" s="306">
        <v>0</v>
      </c>
      <c r="G12" s="306">
        <v>0</v>
      </c>
      <c r="H12" s="306">
        <v>0</v>
      </c>
      <c r="I12" s="125" t="s">
        <v>139</v>
      </c>
    </row>
    <row r="13" spans="1:9" ht="18.75" customHeight="1" x14ac:dyDescent="0.3">
      <c r="A13" s="143" t="s">
        <v>66</v>
      </c>
      <c r="B13" s="125" t="s">
        <v>213</v>
      </c>
      <c r="C13" s="145">
        <v>1</v>
      </c>
      <c r="D13" s="306">
        <v>0</v>
      </c>
      <c r="E13" s="306">
        <v>0</v>
      </c>
      <c r="F13" s="306">
        <v>0</v>
      </c>
      <c r="G13" s="306">
        <v>0</v>
      </c>
      <c r="H13" s="306">
        <v>0</v>
      </c>
      <c r="I13" s="125"/>
    </row>
    <row r="14" spans="1:9" ht="18.75" customHeight="1" x14ac:dyDescent="0.3">
      <c r="A14" s="143" t="s">
        <v>66</v>
      </c>
      <c r="B14" s="125" t="s">
        <v>214</v>
      </c>
      <c r="C14" s="129">
        <f>$C$83</f>
        <v>27.79</v>
      </c>
      <c r="D14" s="306">
        <v>0</v>
      </c>
      <c r="E14" s="306">
        <v>0</v>
      </c>
      <c r="F14" s="306">
        <v>0</v>
      </c>
      <c r="G14" s="306">
        <v>0</v>
      </c>
      <c r="H14" s="306">
        <v>0</v>
      </c>
      <c r="I14" s="125"/>
    </row>
    <row r="15" spans="1:9" ht="18.75" customHeight="1" x14ac:dyDescent="0.3">
      <c r="A15" s="146" t="s">
        <v>66</v>
      </c>
      <c r="B15" s="147" t="s">
        <v>247</v>
      </c>
      <c r="C15" s="148">
        <v>1750</v>
      </c>
      <c r="D15" s="307">
        <v>0</v>
      </c>
      <c r="E15" s="307">
        <v>0</v>
      </c>
      <c r="F15" s="307">
        <v>0</v>
      </c>
      <c r="G15" s="307">
        <v>0</v>
      </c>
      <c r="H15" s="307">
        <v>0</v>
      </c>
      <c r="I15" s="147" t="s">
        <v>307</v>
      </c>
    </row>
    <row r="16" spans="1:9" x14ac:dyDescent="0.3">
      <c r="A16" s="143" t="s">
        <v>67</v>
      </c>
      <c r="B16" s="125" t="s">
        <v>79</v>
      </c>
      <c r="C16" s="134">
        <f>C79</f>
        <v>1815</v>
      </c>
      <c r="D16" s="309">
        <v>0</v>
      </c>
      <c r="E16" s="309">
        <v>0</v>
      </c>
      <c r="F16" s="309">
        <v>0</v>
      </c>
      <c r="G16" s="309">
        <v>0</v>
      </c>
      <c r="H16" s="309">
        <v>0</v>
      </c>
      <c r="I16" s="125"/>
    </row>
    <row r="17" spans="1:9" x14ac:dyDescent="0.3">
      <c r="A17" s="143" t="s">
        <v>67</v>
      </c>
      <c r="B17" s="125" t="s">
        <v>92</v>
      </c>
      <c r="C17" s="129">
        <v>10.51</v>
      </c>
      <c r="D17" s="306">
        <v>0</v>
      </c>
      <c r="E17" s="306">
        <v>0</v>
      </c>
      <c r="F17" s="306">
        <v>0</v>
      </c>
      <c r="G17" s="306">
        <v>0</v>
      </c>
      <c r="H17" s="306">
        <v>0</v>
      </c>
      <c r="I17" s="125" t="s">
        <v>335</v>
      </c>
    </row>
    <row r="18" spans="1:9" x14ac:dyDescent="0.3">
      <c r="A18" s="143" t="s">
        <v>67</v>
      </c>
      <c r="B18" s="125" t="s">
        <v>101</v>
      </c>
      <c r="C18" s="145">
        <v>0.02</v>
      </c>
      <c r="D18" s="306">
        <v>0</v>
      </c>
      <c r="E18" s="306">
        <v>0</v>
      </c>
      <c r="F18" s="306">
        <v>0</v>
      </c>
      <c r="G18" s="306">
        <v>0</v>
      </c>
      <c r="H18" s="306">
        <v>0</v>
      </c>
      <c r="I18" s="125"/>
    </row>
    <row r="19" spans="1:9" x14ac:dyDescent="0.3">
      <c r="A19" s="135" t="s">
        <v>67</v>
      </c>
      <c r="B19" s="136" t="s">
        <v>91</v>
      </c>
      <c r="C19" s="150">
        <f>$C$81</f>
        <v>23.75</v>
      </c>
      <c r="D19" s="307">
        <v>0</v>
      </c>
      <c r="E19" s="307">
        <v>0</v>
      </c>
      <c r="F19" s="307">
        <v>0</v>
      </c>
      <c r="G19" s="307">
        <v>0</v>
      </c>
      <c r="H19" s="307">
        <v>0</v>
      </c>
      <c r="I19" s="147"/>
    </row>
    <row r="20" spans="1:9" x14ac:dyDescent="0.3">
      <c r="A20" s="151" t="s">
        <v>9</v>
      </c>
      <c r="B20" s="152" t="s">
        <v>103</v>
      </c>
      <c r="C20" s="153">
        <v>13000</v>
      </c>
      <c r="D20" s="307">
        <v>0</v>
      </c>
      <c r="E20" s="307">
        <v>0</v>
      </c>
      <c r="F20" s="307">
        <v>0</v>
      </c>
      <c r="G20" s="307">
        <v>0</v>
      </c>
      <c r="H20" s="307">
        <v>0</v>
      </c>
      <c r="I20" s="154"/>
    </row>
    <row r="21" spans="1:9" x14ac:dyDescent="0.3">
      <c r="A21" s="151" t="s">
        <v>219</v>
      </c>
      <c r="B21" s="125" t="s">
        <v>269</v>
      </c>
      <c r="C21" s="306">
        <v>0</v>
      </c>
      <c r="D21" s="306">
        <v>0</v>
      </c>
      <c r="E21" s="129">
        <v>0</v>
      </c>
      <c r="F21" s="306">
        <v>0</v>
      </c>
      <c r="G21" s="306">
        <v>0</v>
      </c>
      <c r="H21" s="306">
        <v>0</v>
      </c>
      <c r="I21" s="328"/>
    </row>
    <row r="22" spans="1:9" x14ac:dyDescent="0.3">
      <c r="A22" s="146" t="s">
        <v>219</v>
      </c>
      <c r="B22" s="125" t="s">
        <v>270</v>
      </c>
      <c r="C22" s="306">
        <v>0</v>
      </c>
      <c r="D22" s="306">
        <v>0</v>
      </c>
      <c r="E22" s="129">
        <v>0</v>
      </c>
      <c r="F22" s="129">
        <v>0</v>
      </c>
      <c r="G22" s="129">
        <v>0</v>
      </c>
      <c r="H22" s="129">
        <v>0</v>
      </c>
      <c r="I22" s="329"/>
    </row>
    <row r="23" spans="1:9" x14ac:dyDescent="0.3">
      <c r="A23" s="151" t="s">
        <v>81</v>
      </c>
      <c r="B23" s="157" t="s">
        <v>104</v>
      </c>
      <c r="C23" s="158">
        <v>3800</v>
      </c>
      <c r="D23" s="309">
        <v>0</v>
      </c>
      <c r="E23" s="309">
        <v>0</v>
      </c>
      <c r="F23" s="309">
        <v>0</v>
      </c>
      <c r="G23" s="309">
        <v>0</v>
      </c>
      <c r="H23" s="309">
        <v>0</v>
      </c>
      <c r="I23" s="159" t="s">
        <v>308</v>
      </c>
    </row>
    <row r="24" spans="1:9" x14ac:dyDescent="0.3">
      <c r="A24" s="135" t="s">
        <v>81</v>
      </c>
      <c r="B24" s="136" t="s">
        <v>105</v>
      </c>
      <c r="C24" s="150">
        <v>1000</v>
      </c>
      <c r="D24" s="307">
        <v>0</v>
      </c>
      <c r="E24" s="307">
        <v>0</v>
      </c>
      <c r="F24" s="307">
        <v>0</v>
      </c>
      <c r="G24" s="307">
        <v>0</v>
      </c>
      <c r="H24" s="307">
        <v>0</v>
      </c>
      <c r="I24" s="160"/>
    </row>
    <row r="25" spans="1:9" x14ac:dyDescent="0.3">
      <c r="A25" s="125" t="s">
        <v>6</v>
      </c>
      <c r="B25" s="161" t="s">
        <v>113</v>
      </c>
      <c r="C25" s="129">
        <v>600</v>
      </c>
      <c r="D25" s="309">
        <v>0</v>
      </c>
      <c r="E25" s="309">
        <v>0</v>
      </c>
      <c r="F25" s="309">
        <v>0</v>
      </c>
      <c r="G25" s="309">
        <v>0</v>
      </c>
      <c r="H25" s="309">
        <v>0</v>
      </c>
      <c r="I25" s="159"/>
    </row>
    <row r="26" spans="1:9" x14ac:dyDescent="0.3">
      <c r="A26" s="136" t="s">
        <v>6</v>
      </c>
      <c r="B26" s="162" t="s">
        <v>114</v>
      </c>
      <c r="C26" s="150">
        <v>300</v>
      </c>
      <c r="D26" s="307">
        <v>0</v>
      </c>
      <c r="E26" s="307">
        <v>0</v>
      </c>
      <c r="F26" s="307">
        <v>0</v>
      </c>
      <c r="G26" s="307">
        <v>0</v>
      </c>
      <c r="H26" s="307">
        <v>0</v>
      </c>
      <c r="I26" s="160"/>
    </row>
    <row r="27" spans="1:9" ht="19.95" customHeight="1" x14ac:dyDescent="0.3">
      <c r="A27" s="140" t="s">
        <v>7</v>
      </c>
      <c r="B27" s="152" t="s">
        <v>215</v>
      </c>
      <c r="C27" s="141">
        <v>3000</v>
      </c>
      <c r="D27" s="307">
        <v>0</v>
      </c>
      <c r="E27" s="307">
        <v>0</v>
      </c>
      <c r="F27" s="307">
        <v>0</v>
      </c>
      <c r="G27" s="307">
        <v>0</v>
      </c>
      <c r="H27" s="307">
        <v>0</v>
      </c>
      <c r="I27" s="163" t="s">
        <v>243</v>
      </c>
    </row>
    <row r="28" spans="1:9" x14ac:dyDescent="0.3">
      <c r="A28" s="151" t="s">
        <v>86</v>
      </c>
      <c r="B28" s="161" t="s">
        <v>98</v>
      </c>
      <c r="C28" s="164">
        <v>20</v>
      </c>
      <c r="D28" s="164">
        <v>11</v>
      </c>
      <c r="E28" s="164">
        <v>12</v>
      </c>
      <c r="F28" s="164">
        <v>15</v>
      </c>
      <c r="G28" s="164">
        <v>33</v>
      </c>
      <c r="H28" s="164">
        <v>50</v>
      </c>
      <c r="I28" s="125"/>
    </row>
    <row r="29" spans="1:9" x14ac:dyDescent="0.3">
      <c r="A29" s="143" t="s">
        <v>86</v>
      </c>
      <c r="B29" s="165" t="s">
        <v>91</v>
      </c>
      <c r="C29" s="166">
        <f>C$81</f>
        <v>23.75</v>
      </c>
      <c r="D29" s="166">
        <f t="shared" ref="D29:H33" si="2">D$81</f>
        <v>23.75</v>
      </c>
      <c r="E29" s="166">
        <f t="shared" si="2"/>
        <v>23.75</v>
      </c>
      <c r="F29" s="166">
        <f t="shared" si="2"/>
        <v>23.75</v>
      </c>
      <c r="G29" s="166">
        <f t="shared" si="2"/>
        <v>23.75</v>
      </c>
      <c r="H29" s="166">
        <f t="shared" si="2"/>
        <v>23.75</v>
      </c>
      <c r="I29" s="160"/>
    </row>
    <row r="30" spans="1:9" x14ac:dyDescent="0.3">
      <c r="A30" s="143" t="s">
        <v>86</v>
      </c>
      <c r="B30" s="125" t="s">
        <v>97</v>
      </c>
      <c r="C30" s="128">
        <v>53</v>
      </c>
      <c r="D30" s="128">
        <v>55</v>
      </c>
      <c r="E30" s="128">
        <v>42</v>
      </c>
      <c r="F30" s="128">
        <v>14</v>
      </c>
      <c r="G30" s="128">
        <v>10</v>
      </c>
      <c r="H30" s="128">
        <v>5</v>
      </c>
      <c r="I30" s="125"/>
    </row>
    <row r="31" spans="1:9" x14ac:dyDescent="0.3">
      <c r="A31" s="135" t="s">
        <v>86</v>
      </c>
      <c r="B31" s="136" t="s">
        <v>91</v>
      </c>
      <c r="C31" s="166">
        <f>C$81</f>
        <v>23.75</v>
      </c>
      <c r="D31" s="166">
        <f t="shared" si="2"/>
        <v>23.75</v>
      </c>
      <c r="E31" s="166">
        <f t="shared" si="2"/>
        <v>23.75</v>
      </c>
      <c r="F31" s="166">
        <f t="shared" si="2"/>
        <v>23.75</v>
      </c>
      <c r="G31" s="166">
        <f t="shared" si="2"/>
        <v>23.75</v>
      </c>
      <c r="H31" s="166">
        <f t="shared" si="2"/>
        <v>23.75</v>
      </c>
      <c r="I31" s="160"/>
    </row>
    <row r="32" spans="1:9" x14ac:dyDescent="0.3">
      <c r="A32" s="143" t="s">
        <v>248</v>
      </c>
      <c r="B32" s="125" t="s">
        <v>236</v>
      </c>
      <c r="C32" s="128">
        <v>0</v>
      </c>
      <c r="D32" s="128">
        <v>0</v>
      </c>
      <c r="E32" s="128">
        <v>0</v>
      </c>
      <c r="F32" s="128">
        <v>0</v>
      </c>
      <c r="G32" s="128">
        <v>0</v>
      </c>
      <c r="H32" s="128">
        <v>0</v>
      </c>
      <c r="I32" s="167" t="s">
        <v>349</v>
      </c>
    </row>
    <row r="33" spans="1:10" x14ac:dyDescent="0.3">
      <c r="A33" s="143" t="s">
        <v>248</v>
      </c>
      <c r="B33" s="125" t="s">
        <v>91</v>
      </c>
      <c r="C33" s="129">
        <f>C$81</f>
        <v>23.75</v>
      </c>
      <c r="D33" s="129">
        <f t="shared" si="2"/>
        <v>23.75</v>
      </c>
      <c r="E33" s="129">
        <f t="shared" si="2"/>
        <v>23.75</v>
      </c>
      <c r="F33" s="129">
        <f t="shared" si="2"/>
        <v>23.75</v>
      </c>
      <c r="G33" s="129">
        <f t="shared" si="2"/>
        <v>23.75</v>
      </c>
      <c r="H33" s="129">
        <f t="shared" si="2"/>
        <v>23.75</v>
      </c>
      <c r="I33" s="159"/>
    </row>
    <row r="34" spans="1:10" ht="13.8" x14ac:dyDescent="0.3">
      <c r="A34" s="143" t="s">
        <v>248</v>
      </c>
      <c r="B34" s="125" t="s">
        <v>220</v>
      </c>
      <c r="C34" s="145">
        <v>0</v>
      </c>
      <c r="D34" s="145">
        <v>0</v>
      </c>
      <c r="E34" s="145">
        <v>0</v>
      </c>
      <c r="F34" s="145">
        <v>0</v>
      </c>
      <c r="G34" s="145">
        <v>0</v>
      </c>
      <c r="H34" s="145">
        <v>0</v>
      </c>
      <c r="I34" s="159" t="s">
        <v>350</v>
      </c>
      <c r="J34" s="145"/>
    </row>
    <row r="35" spans="1:10" x14ac:dyDescent="0.3">
      <c r="A35" s="135" t="s">
        <v>248</v>
      </c>
      <c r="B35" s="125" t="s">
        <v>91</v>
      </c>
      <c r="C35" s="148">
        <f>C$83</f>
        <v>27.79</v>
      </c>
      <c r="D35" s="148">
        <f t="shared" ref="D35:H35" si="3">D$83</f>
        <v>27.79</v>
      </c>
      <c r="E35" s="148">
        <f t="shared" si="3"/>
        <v>27.79</v>
      </c>
      <c r="F35" s="148">
        <f t="shared" si="3"/>
        <v>27.79</v>
      </c>
      <c r="G35" s="148">
        <f t="shared" si="3"/>
        <v>27.79</v>
      </c>
      <c r="H35" s="148">
        <f t="shared" si="3"/>
        <v>27.79</v>
      </c>
      <c r="I35" s="160"/>
    </row>
    <row r="36" spans="1:10" ht="33" customHeight="1" x14ac:dyDescent="0.3">
      <c r="A36" s="151" t="s">
        <v>237</v>
      </c>
      <c r="B36" s="157" t="s">
        <v>238</v>
      </c>
      <c r="C36" s="129">
        <v>139</v>
      </c>
      <c r="D36" s="129">
        <v>359</v>
      </c>
      <c r="E36" s="129">
        <v>1319</v>
      </c>
      <c r="F36" s="129">
        <v>1319</v>
      </c>
      <c r="G36" s="129">
        <v>1319</v>
      </c>
      <c r="H36" s="129">
        <v>1319</v>
      </c>
      <c r="I36" s="155" t="s">
        <v>352</v>
      </c>
    </row>
    <row r="37" spans="1:10" x14ac:dyDescent="0.3">
      <c r="A37" s="143" t="s">
        <v>237</v>
      </c>
      <c r="B37" s="125" t="s">
        <v>239</v>
      </c>
      <c r="C37" s="145">
        <v>5</v>
      </c>
      <c r="D37" s="145">
        <v>14</v>
      </c>
      <c r="E37" s="145">
        <v>20</v>
      </c>
      <c r="F37" s="145">
        <v>20</v>
      </c>
      <c r="G37" s="145">
        <v>20</v>
      </c>
      <c r="H37" s="145">
        <v>20</v>
      </c>
      <c r="I37" s="132"/>
    </row>
    <row r="38" spans="1:10" x14ac:dyDescent="0.3">
      <c r="A38" s="135" t="s">
        <v>237</v>
      </c>
      <c r="B38" s="136" t="s">
        <v>91</v>
      </c>
      <c r="C38" s="148">
        <f>C$83</f>
        <v>27.79</v>
      </c>
      <c r="D38" s="148">
        <f t="shared" ref="D38:G38" si="4">D$83</f>
        <v>27.79</v>
      </c>
      <c r="E38" s="148">
        <f t="shared" si="4"/>
        <v>27.79</v>
      </c>
      <c r="F38" s="148">
        <f t="shared" si="4"/>
        <v>27.79</v>
      </c>
      <c r="G38" s="148">
        <f t="shared" si="4"/>
        <v>27.79</v>
      </c>
      <c r="H38" s="150">
        <f>H$83</f>
        <v>27.79</v>
      </c>
      <c r="I38" s="156"/>
    </row>
    <row r="39" spans="1:10" ht="19.95" customHeight="1" x14ac:dyDescent="0.3">
      <c r="A39" s="143" t="s">
        <v>84</v>
      </c>
      <c r="B39" s="125" t="s">
        <v>82</v>
      </c>
      <c r="C39" s="129">
        <v>90</v>
      </c>
      <c r="D39" s="129">
        <v>90</v>
      </c>
      <c r="E39" s="129">
        <v>226</v>
      </c>
      <c r="F39" s="129">
        <v>226</v>
      </c>
      <c r="G39" s="129">
        <v>226</v>
      </c>
      <c r="H39" s="129">
        <v>226</v>
      </c>
      <c r="I39" s="132" t="s">
        <v>353</v>
      </c>
    </row>
    <row r="40" spans="1:10" ht="31.2" customHeight="1" x14ac:dyDescent="0.3">
      <c r="A40" s="143" t="s">
        <v>84</v>
      </c>
      <c r="B40" s="125" t="s">
        <v>222</v>
      </c>
      <c r="C40" s="306">
        <v>0</v>
      </c>
      <c r="D40" s="306">
        <v>0</v>
      </c>
      <c r="E40" s="128">
        <v>2</v>
      </c>
      <c r="F40" s="128">
        <v>2</v>
      </c>
      <c r="G40" s="128">
        <v>2</v>
      </c>
      <c r="H40" s="128">
        <v>2</v>
      </c>
      <c r="I40" s="168" t="s">
        <v>336</v>
      </c>
    </row>
    <row r="41" spans="1:10" ht="18.75" customHeight="1" x14ac:dyDescent="0.3">
      <c r="A41" s="135" t="s">
        <v>84</v>
      </c>
      <c r="B41" s="136" t="s">
        <v>91</v>
      </c>
      <c r="C41" s="150">
        <f>C$82</f>
        <v>24.75</v>
      </c>
      <c r="D41" s="150">
        <f t="shared" ref="D41:H41" si="5">D$82</f>
        <v>24.75</v>
      </c>
      <c r="E41" s="150">
        <f t="shared" si="5"/>
        <v>24.75</v>
      </c>
      <c r="F41" s="150">
        <f t="shared" si="5"/>
        <v>24.75</v>
      </c>
      <c r="G41" s="150">
        <f t="shared" si="5"/>
        <v>24.75</v>
      </c>
      <c r="H41" s="150">
        <f t="shared" si="5"/>
        <v>24.75</v>
      </c>
      <c r="I41" s="160"/>
    </row>
    <row r="42" spans="1:10" ht="18.75" customHeight="1" x14ac:dyDescent="0.3">
      <c r="A42" s="143" t="s">
        <v>83</v>
      </c>
      <c r="B42" s="125" t="s">
        <v>134</v>
      </c>
      <c r="C42" s="129">
        <v>170</v>
      </c>
      <c r="D42" s="129">
        <v>170</v>
      </c>
      <c r="E42" s="129">
        <v>170</v>
      </c>
      <c r="F42" s="129">
        <v>170</v>
      </c>
      <c r="G42" s="129">
        <v>170</v>
      </c>
      <c r="H42" s="129">
        <v>170</v>
      </c>
      <c r="I42" s="159"/>
    </row>
    <row r="43" spans="1:10" ht="18.75" customHeight="1" x14ac:dyDescent="0.3">
      <c r="A43" s="143" t="s">
        <v>83</v>
      </c>
      <c r="B43" s="125" t="s">
        <v>69</v>
      </c>
      <c r="C43" s="129">
        <v>180</v>
      </c>
      <c r="D43" s="129">
        <v>180</v>
      </c>
      <c r="E43" s="129">
        <v>180</v>
      </c>
      <c r="F43" s="129">
        <v>195</v>
      </c>
      <c r="G43" s="129">
        <v>195</v>
      </c>
      <c r="H43" s="129">
        <v>195</v>
      </c>
      <c r="I43" s="159"/>
    </row>
    <row r="44" spans="1:10" ht="18.75" customHeight="1" x14ac:dyDescent="0.3">
      <c r="A44" s="143" t="s">
        <v>93</v>
      </c>
      <c r="B44" s="125" t="s">
        <v>85</v>
      </c>
      <c r="C44" s="128">
        <v>13</v>
      </c>
      <c r="D44" s="128">
        <v>13</v>
      </c>
      <c r="E44" s="128">
        <v>13</v>
      </c>
      <c r="F44" s="128">
        <v>13</v>
      </c>
      <c r="G44" s="128">
        <v>13</v>
      </c>
      <c r="H44" s="128">
        <v>13</v>
      </c>
      <c r="I44" s="125"/>
    </row>
    <row r="45" spans="1:10" ht="18.75" customHeight="1" x14ac:dyDescent="0.3">
      <c r="A45" s="135" t="s">
        <v>83</v>
      </c>
      <c r="B45" s="136" t="s">
        <v>91</v>
      </c>
      <c r="C45" s="150">
        <f>C$83</f>
        <v>27.79</v>
      </c>
      <c r="D45" s="150">
        <f t="shared" ref="D45:H45" si="6">D$83</f>
        <v>27.79</v>
      </c>
      <c r="E45" s="150">
        <f t="shared" si="6"/>
        <v>27.79</v>
      </c>
      <c r="F45" s="150">
        <f t="shared" si="6"/>
        <v>27.79</v>
      </c>
      <c r="G45" s="150">
        <f t="shared" si="6"/>
        <v>27.79</v>
      </c>
      <c r="H45" s="150">
        <f t="shared" si="6"/>
        <v>27.79</v>
      </c>
      <c r="I45" s="160"/>
    </row>
    <row r="46" spans="1:10" x14ac:dyDescent="0.3">
      <c r="A46" s="143" t="s">
        <v>94</v>
      </c>
      <c r="B46" s="125" t="s">
        <v>71</v>
      </c>
      <c r="C46" s="306">
        <v>0</v>
      </c>
      <c r="D46" s="306">
        <v>0</v>
      </c>
      <c r="E46" s="129">
        <v>65</v>
      </c>
      <c r="F46" s="129">
        <v>65</v>
      </c>
      <c r="G46" s="129">
        <v>65</v>
      </c>
      <c r="H46" s="129">
        <v>65</v>
      </c>
      <c r="I46" s="159"/>
    </row>
    <row r="47" spans="1:10" x14ac:dyDescent="0.3">
      <c r="A47" s="135" t="s">
        <v>94</v>
      </c>
      <c r="B47" s="136" t="s">
        <v>72</v>
      </c>
      <c r="C47" s="307">
        <v>0</v>
      </c>
      <c r="D47" s="307">
        <v>0</v>
      </c>
      <c r="E47" s="149">
        <v>1</v>
      </c>
      <c r="F47" s="149">
        <v>1</v>
      </c>
      <c r="G47" s="149">
        <v>1</v>
      </c>
      <c r="H47" s="149">
        <v>1</v>
      </c>
      <c r="I47" s="147"/>
    </row>
    <row r="48" spans="1:10" ht="27.6" x14ac:dyDescent="0.3">
      <c r="A48" s="143" t="s">
        <v>95</v>
      </c>
      <c r="B48" s="167" t="s">
        <v>244</v>
      </c>
      <c r="C48" s="129">
        <v>4000</v>
      </c>
      <c r="D48" s="306">
        <v>0</v>
      </c>
      <c r="E48" s="306">
        <v>0</v>
      </c>
      <c r="F48" s="306">
        <v>0</v>
      </c>
      <c r="G48" s="306">
        <v>0</v>
      </c>
      <c r="H48" s="306">
        <v>0</v>
      </c>
      <c r="I48" s="167" t="s">
        <v>356</v>
      </c>
    </row>
    <row r="49" spans="1:9" x14ac:dyDescent="0.3">
      <c r="A49" s="143" t="s">
        <v>95</v>
      </c>
      <c r="B49" s="125" t="s">
        <v>99</v>
      </c>
      <c r="C49" s="169">
        <v>0.64</v>
      </c>
      <c r="D49" s="306">
        <v>0</v>
      </c>
      <c r="E49" s="306">
        <v>0</v>
      </c>
      <c r="F49" s="306">
        <v>0</v>
      </c>
      <c r="G49" s="306">
        <v>0</v>
      </c>
      <c r="H49" s="306">
        <v>0</v>
      </c>
      <c r="I49" s="170"/>
    </row>
    <row r="50" spans="1:9" x14ac:dyDescent="0.3">
      <c r="A50" s="143" t="s">
        <v>95</v>
      </c>
      <c r="B50" s="162" t="s">
        <v>91</v>
      </c>
      <c r="C50" s="150">
        <f>C$82</f>
        <v>24.75</v>
      </c>
      <c r="D50" s="307">
        <v>0</v>
      </c>
      <c r="E50" s="307">
        <v>0</v>
      </c>
      <c r="F50" s="307">
        <v>0</v>
      </c>
      <c r="G50" s="307">
        <v>0</v>
      </c>
      <c r="H50" s="307">
        <v>0</v>
      </c>
      <c r="I50" s="171"/>
    </row>
    <row r="51" spans="1:9" ht="33" customHeight="1" x14ac:dyDescent="0.3">
      <c r="A51" s="143" t="s">
        <v>95</v>
      </c>
      <c r="B51" s="125" t="s">
        <v>87</v>
      </c>
      <c r="C51" s="128">
        <v>0.4</v>
      </c>
      <c r="D51" s="128">
        <v>0.4</v>
      </c>
      <c r="E51" s="128">
        <v>0.4</v>
      </c>
      <c r="F51" s="128">
        <f>E51</f>
        <v>0.4</v>
      </c>
      <c r="G51" s="128">
        <f>F51</f>
        <v>0.4</v>
      </c>
      <c r="H51" s="128">
        <f>G51</f>
        <v>0.4</v>
      </c>
      <c r="I51" s="167" t="s">
        <v>357</v>
      </c>
    </row>
    <row r="52" spans="1:9" x14ac:dyDescent="0.3">
      <c r="A52" s="135" t="s">
        <v>95</v>
      </c>
      <c r="B52" s="136" t="s">
        <v>91</v>
      </c>
      <c r="C52" s="150">
        <f t="shared" ref="C52:D52" si="7">C$82</f>
        <v>24.75</v>
      </c>
      <c r="D52" s="150">
        <f t="shared" si="7"/>
        <v>24.75</v>
      </c>
      <c r="E52" s="150">
        <f>E$82</f>
        <v>24.75</v>
      </c>
      <c r="F52" s="150">
        <f t="shared" ref="F52:H52" si="8">F$82</f>
        <v>24.75</v>
      </c>
      <c r="G52" s="150">
        <f t="shared" si="8"/>
        <v>24.75</v>
      </c>
      <c r="H52" s="150">
        <f t="shared" si="8"/>
        <v>24.75</v>
      </c>
      <c r="I52" s="160"/>
    </row>
    <row r="53" spans="1:9" ht="18.75" customHeight="1" x14ac:dyDescent="0.3">
      <c r="A53" s="143" t="s">
        <v>68</v>
      </c>
      <c r="B53" s="125" t="s">
        <v>125</v>
      </c>
      <c r="C53" s="129"/>
      <c r="D53" s="129"/>
      <c r="E53" s="129"/>
      <c r="F53" s="129">
        <v>20</v>
      </c>
      <c r="G53" s="129">
        <f>F53</f>
        <v>20</v>
      </c>
      <c r="H53" s="129">
        <f>G53</f>
        <v>20</v>
      </c>
      <c r="I53" s="159" t="s">
        <v>227</v>
      </c>
    </row>
    <row r="54" spans="1:9" ht="18.75" customHeight="1" x14ac:dyDescent="0.3">
      <c r="A54" s="143" t="s">
        <v>68</v>
      </c>
      <c r="B54" s="125" t="s">
        <v>126</v>
      </c>
      <c r="C54" s="129">
        <v>30</v>
      </c>
      <c r="D54" s="129">
        <f>C54</f>
        <v>30</v>
      </c>
      <c r="E54" s="129">
        <f t="shared" ref="E54:H54" si="9">D54</f>
        <v>30</v>
      </c>
      <c r="F54" s="129">
        <f t="shared" si="9"/>
        <v>30</v>
      </c>
      <c r="G54" s="129">
        <f t="shared" si="9"/>
        <v>30</v>
      </c>
      <c r="H54" s="129">
        <f t="shared" si="9"/>
        <v>30</v>
      </c>
      <c r="I54" s="159"/>
    </row>
    <row r="55" spans="1:9" ht="18.75" customHeight="1" x14ac:dyDescent="0.3">
      <c r="A55" s="143" t="s">
        <v>68</v>
      </c>
      <c r="B55" s="125" t="s">
        <v>120</v>
      </c>
      <c r="C55" s="129">
        <v>30</v>
      </c>
      <c r="D55" s="129">
        <f>C55</f>
        <v>30</v>
      </c>
      <c r="E55" s="129">
        <f t="shared" ref="E55:H55" si="10">D55</f>
        <v>30</v>
      </c>
      <c r="F55" s="129">
        <f t="shared" si="10"/>
        <v>30</v>
      </c>
      <c r="G55" s="129">
        <f t="shared" si="10"/>
        <v>30</v>
      </c>
      <c r="H55" s="129">
        <f t="shared" si="10"/>
        <v>30</v>
      </c>
      <c r="I55" s="159"/>
    </row>
    <row r="56" spans="1:9" ht="18.75" customHeight="1" x14ac:dyDescent="0.3">
      <c r="A56" s="143" t="s">
        <v>68</v>
      </c>
      <c r="B56" s="125" t="s">
        <v>127</v>
      </c>
      <c r="C56" s="129"/>
      <c r="D56" s="129"/>
      <c r="E56" s="124"/>
      <c r="F56" s="129">
        <v>45</v>
      </c>
      <c r="G56" s="129">
        <f>F56</f>
        <v>45</v>
      </c>
      <c r="H56" s="129">
        <f>G56</f>
        <v>45</v>
      </c>
      <c r="I56" s="159"/>
    </row>
    <row r="57" spans="1:9" ht="18.75" customHeight="1" x14ac:dyDescent="0.3">
      <c r="A57" s="143" t="s">
        <v>68</v>
      </c>
      <c r="B57" s="125" t="s">
        <v>128</v>
      </c>
      <c r="C57" s="129">
        <v>300</v>
      </c>
      <c r="D57" s="129">
        <f>C57</f>
        <v>300</v>
      </c>
      <c r="E57" s="129">
        <f t="shared" ref="E57:H57" si="11">D57</f>
        <v>300</v>
      </c>
      <c r="F57" s="129">
        <f t="shared" si="11"/>
        <v>300</v>
      </c>
      <c r="G57" s="129">
        <f t="shared" si="11"/>
        <v>300</v>
      </c>
      <c r="H57" s="129">
        <f t="shared" si="11"/>
        <v>300</v>
      </c>
      <c r="I57" s="159"/>
    </row>
    <row r="58" spans="1:9" ht="30.6" customHeight="1" x14ac:dyDescent="0.3">
      <c r="A58" s="172" t="s">
        <v>68</v>
      </c>
      <c r="B58" s="173" t="s">
        <v>136</v>
      </c>
      <c r="C58" s="166">
        <v>270</v>
      </c>
      <c r="D58" s="166">
        <f>C58</f>
        <v>270</v>
      </c>
      <c r="E58" s="166">
        <f t="shared" ref="E58:H58" si="12">D58</f>
        <v>270</v>
      </c>
      <c r="F58" s="166">
        <f t="shared" si="12"/>
        <v>270</v>
      </c>
      <c r="G58" s="166">
        <f t="shared" si="12"/>
        <v>270</v>
      </c>
      <c r="H58" s="166">
        <f t="shared" si="12"/>
        <v>270</v>
      </c>
      <c r="I58" s="160"/>
    </row>
    <row r="59" spans="1:9" ht="16.95" customHeight="1" x14ac:dyDescent="0.3">
      <c r="A59" s="143" t="s">
        <v>88</v>
      </c>
      <c r="B59" s="125" t="s">
        <v>216</v>
      </c>
      <c r="C59" s="306">
        <v>0</v>
      </c>
      <c r="D59" s="306">
        <v>0</v>
      </c>
      <c r="E59" s="129">
        <v>37</v>
      </c>
      <c r="F59" s="129">
        <f>$E$59</f>
        <v>37</v>
      </c>
      <c r="G59" s="129">
        <f t="shared" ref="G59:H59" si="13">$E$59</f>
        <v>37</v>
      </c>
      <c r="H59" s="129">
        <f t="shared" si="13"/>
        <v>37</v>
      </c>
      <c r="I59" s="132" t="s">
        <v>334</v>
      </c>
    </row>
    <row r="60" spans="1:9" ht="27.6" x14ac:dyDescent="0.3">
      <c r="A60" s="143" t="s">
        <v>88</v>
      </c>
      <c r="B60" s="167" t="s">
        <v>217</v>
      </c>
      <c r="C60" s="306">
        <v>0</v>
      </c>
      <c r="D60" s="306">
        <v>0</v>
      </c>
      <c r="E60" s="129">
        <v>11</v>
      </c>
      <c r="F60" s="129">
        <v>11</v>
      </c>
      <c r="G60" s="129">
        <v>11</v>
      </c>
      <c r="H60" s="129">
        <v>11</v>
      </c>
      <c r="I60" s="159"/>
    </row>
    <row r="61" spans="1:9" x14ac:dyDescent="0.3">
      <c r="A61" s="135" t="s">
        <v>88</v>
      </c>
      <c r="B61" s="136" t="s">
        <v>73</v>
      </c>
      <c r="C61" s="307">
        <v>0</v>
      </c>
      <c r="D61" s="307">
        <v>0</v>
      </c>
      <c r="E61" s="150">
        <v>11</v>
      </c>
      <c r="F61" s="150">
        <f>$E$61</f>
        <v>11</v>
      </c>
      <c r="G61" s="150">
        <f t="shared" ref="G61:H61" si="14">$E$61</f>
        <v>11</v>
      </c>
      <c r="H61" s="150">
        <f t="shared" si="14"/>
        <v>11</v>
      </c>
      <c r="I61" s="156" t="s">
        <v>131</v>
      </c>
    </row>
    <row r="62" spans="1:9" ht="18.600000000000001" customHeight="1" x14ac:dyDescent="0.3">
      <c r="A62" s="143" t="s">
        <v>89</v>
      </c>
      <c r="B62" s="125" t="s">
        <v>116</v>
      </c>
      <c r="C62" s="306">
        <v>0</v>
      </c>
      <c r="D62" s="306">
        <v>0</v>
      </c>
      <c r="E62" s="174">
        <v>0.8</v>
      </c>
      <c r="F62" s="174">
        <v>0.8</v>
      </c>
      <c r="G62" s="174">
        <f>$F$62</f>
        <v>0.8</v>
      </c>
      <c r="H62" s="174">
        <f>$G$62</f>
        <v>0.8</v>
      </c>
      <c r="I62" s="155"/>
    </row>
    <row r="63" spans="1:9" ht="18.75" customHeight="1" x14ac:dyDescent="0.3">
      <c r="A63" s="143" t="s">
        <v>89</v>
      </c>
      <c r="B63" s="125" t="s">
        <v>245</v>
      </c>
      <c r="C63" s="306">
        <v>0</v>
      </c>
      <c r="D63" s="306">
        <v>0</v>
      </c>
      <c r="E63" s="128">
        <v>875</v>
      </c>
      <c r="F63" s="128">
        <f>$E$63</f>
        <v>875</v>
      </c>
      <c r="G63" s="128">
        <f>$F$63</f>
        <v>875</v>
      </c>
      <c r="H63" s="128">
        <f>$F$63</f>
        <v>875</v>
      </c>
      <c r="I63" s="132"/>
    </row>
    <row r="64" spans="1:9" ht="18.75" customHeight="1" x14ac:dyDescent="0.3">
      <c r="A64" s="143" t="s">
        <v>89</v>
      </c>
      <c r="B64" s="127" t="s">
        <v>228</v>
      </c>
      <c r="C64" s="306">
        <v>0</v>
      </c>
      <c r="D64" s="306">
        <v>0</v>
      </c>
      <c r="E64" s="199">
        <f>(E63/40)*E62</f>
        <v>17.5</v>
      </c>
      <c r="F64" s="199">
        <f t="shared" ref="F64:H64" si="15">(F63/40)*F62</f>
        <v>17.5</v>
      </c>
      <c r="G64" s="199">
        <f t="shared" si="15"/>
        <v>17.5</v>
      </c>
      <c r="H64" s="199">
        <f t="shared" si="15"/>
        <v>17.5</v>
      </c>
      <c r="I64" s="132"/>
    </row>
    <row r="65" spans="1:9" ht="18.75" customHeight="1" x14ac:dyDescent="0.3">
      <c r="A65" s="143" t="s">
        <v>89</v>
      </c>
      <c r="B65" s="125" t="s">
        <v>145</v>
      </c>
      <c r="C65" s="306">
        <v>0</v>
      </c>
      <c r="D65" s="306">
        <v>0</v>
      </c>
      <c r="E65" s="129">
        <v>112</v>
      </c>
      <c r="F65" s="129">
        <f>$E$65</f>
        <v>112</v>
      </c>
      <c r="G65" s="129">
        <f>$E$65</f>
        <v>112</v>
      </c>
      <c r="H65" s="129">
        <f>$E$65</f>
        <v>112</v>
      </c>
      <c r="I65" s="159"/>
    </row>
    <row r="66" spans="1:9" ht="20.7" customHeight="1" x14ac:dyDescent="0.3">
      <c r="A66" s="143" t="s">
        <v>89</v>
      </c>
      <c r="B66" s="125" t="s">
        <v>246</v>
      </c>
      <c r="C66" s="306">
        <v>0</v>
      </c>
      <c r="D66" s="306">
        <v>0</v>
      </c>
      <c r="E66" s="129">
        <v>8</v>
      </c>
      <c r="F66" s="129">
        <v>8</v>
      </c>
      <c r="G66" s="129">
        <v>8</v>
      </c>
      <c r="H66" s="129">
        <v>8</v>
      </c>
      <c r="I66" s="132"/>
    </row>
    <row r="67" spans="1:9" ht="37.5" customHeight="1" x14ac:dyDescent="0.3">
      <c r="A67" s="146" t="s">
        <v>89</v>
      </c>
      <c r="B67" s="175" t="s">
        <v>144</v>
      </c>
      <c r="C67" s="307">
        <v>0</v>
      </c>
      <c r="D67" s="307">
        <v>0</v>
      </c>
      <c r="E67" s="176">
        <f t="shared" ref="E67" si="16">E65+(E66*E64)</f>
        <v>252</v>
      </c>
      <c r="F67" s="176">
        <f t="shared" ref="F67:H67" si="17">F65+(F66*F64)</f>
        <v>252</v>
      </c>
      <c r="G67" s="176">
        <f t="shared" si="17"/>
        <v>252</v>
      </c>
      <c r="H67" s="176">
        <f t="shared" si="17"/>
        <v>252</v>
      </c>
      <c r="I67" s="156" t="s">
        <v>229</v>
      </c>
    </row>
    <row r="68" spans="1:9" ht="27.6" x14ac:dyDescent="0.3">
      <c r="A68" s="143" t="s">
        <v>130</v>
      </c>
      <c r="B68" s="125" t="s">
        <v>221</v>
      </c>
      <c r="C68" s="129">
        <v>300</v>
      </c>
      <c r="D68" s="129">
        <f>C68</f>
        <v>300</v>
      </c>
      <c r="E68" s="129">
        <f t="shared" ref="E68:H68" si="18">D68</f>
        <v>300</v>
      </c>
      <c r="F68" s="129">
        <f t="shared" si="18"/>
        <v>300</v>
      </c>
      <c r="G68" s="129">
        <f t="shared" si="18"/>
        <v>300</v>
      </c>
      <c r="H68" s="129">
        <f t="shared" si="18"/>
        <v>300</v>
      </c>
      <c r="I68" s="132" t="s">
        <v>129</v>
      </c>
    </row>
    <row r="69" spans="1:9" ht="18.75" customHeight="1" x14ac:dyDescent="0.3">
      <c r="A69" s="143" t="s">
        <v>130</v>
      </c>
      <c r="B69" s="125" t="s">
        <v>111</v>
      </c>
      <c r="C69" s="129">
        <v>190</v>
      </c>
      <c r="D69" s="129">
        <f t="shared" ref="D69:H72" si="19">C69</f>
        <v>190</v>
      </c>
      <c r="E69" s="129">
        <f t="shared" si="19"/>
        <v>190</v>
      </c>
      <c r="F69" s="129">
        <f t="shared" si="19"/>
        <v>190</v>
      </c>
      <c r="G69" s="129">
        <f t="shared" si="19"/>
        <v>190</v>
      </c>
      <c r="H69" s="129">
        <f t="shared" si="19"/>
        <v>190</v>
      </c>
      <c r="I69" s="159"/>
    </row>
    <row r="70" spans="1:9" ht="18.75" customHeight="1" x14ac:dyDescent="0.3">
      <c r="A70" s="143" t="s">
        <v>130</v>
      </c>
      <c r="B70" s="125" t="s">
        <v>51</v>
      </c>
      <c r="C70" s="129">
        <v>200</v>
      </c>
      <c r="D70" s="129">
        <f t="shared" si="19"/>
        <v>200</v>
      </c>
      <c r="E70" s="129">
        <f t="shared" si="19"/>
        <v>200</v>
      </c>
      <c r="F70" s="129">
        <f t="shared" si="19"/>
        <v>200</v>
      </c>
      <c r="G70" s="129">
        <f t="shared" si="19"/>
        <v>200</v>
      </c>
      <c r="H70" s="129">
        <f t="shared" si="19"/>
        <v>200</v>
      </c>
      <c r="I70" s="159"/>
    </row>
    <row r="71" spans="1:9" ht="23.25" customHeight="1" x14ac:dyDescent="0.3">
      <c r="A71" s="143" t="s">
        <v>130</v>
      </c>
      <c r="B71" s="125" t="s">
        <v>266</v>
      </c>
      <c r="C71" s="129">
        <v>600</v>
      </c>
      <c r="D71" s="129">
        <f t="shared" si="19"/>
        <v>600</v>
      </c>
      <c r="E71" s="129">
        <f t="shared" si="19"/>
        <v>600</v>
      </c>
      <c r="F71" s="129">
        <f t="shared" si="19"/>
        <v>600</v>
      </c>
      <c r="G71" s="129">
        <f t="shared" si="19"/>
        <v>600</v>
      </c>
      <c r="H71" s="129">
        <f t="shared" si="19"/>
        <v>600</v>
      </c>
      <c r="I71" s="132"/>
    </row>
    <row r="72" spans="1:9" ht="18.75" customHeight="1" x14ac:dyDescent="0.3">
      <c r="A72" s="143" t="s">
        <v>130</v>
      </c>
      <c r="B72" s="125" t="s">
        <v>70</v>
      </c>
      <c r="C72" s="129">
        <v>750</v>
      </c>
      <c r="D72" s="129">
        <f t="shared" si="19"/>
        <v>750</v>
      </c>
      <c r="E72" s="129">
        <f t="shared" si="19"/>
        <v>750</v>
      </c>
      <c r="F72" s="129">
        <f t="shared" si="19"/>
        <v>750</v>
      </c>
      <c r="G72" s="129">
        <f t="shared" si="19"/>
        <v>750</v>
      </c>
      <c r="H72" s="129">
        <f t="shared" si="19"/>
        <v>750</v>
      </c>
      <c r="I72" s="159"/>
    </row>
    <row r="73" spans="1:9" ht="18.75" customHeight="1" x14ac:dyDescent="0.3">
      <c r="A73" s="143" t="s">
        <v>130</v>
      </c>
      <c r="B73" s="125" t="s">
        <v>102</v>
      </c>
      <c r="C73" s="45">
        <v>0.05</v>
      </c>
      <c r="D73" s="45">
        <v>0.05</v>
      </c>
      <c r="E73" s="45">
        <v>0.05</v>
      </c>
      <c r="F73" s="45">
        <v>0.05</v>
      </c>
      <c r="G73" s="45">
        <v>0.05</v>
      </c>
      <c r="H73" s="45">
        <v>0.05</v>
      </c>
      <c r="I73" s="81"/>
    </row>
    <row r="74" spans="1:9" ht="18.75" customHeight="1" x14ac:dyDescent="0.3">
      <c r="A74" s="143" t="s">
        <v>130</v>
      </c>
      <c r="B74" s="125" t="s">
        <v>74</v>
      </c>
      <c r="C74" s="45">
        <v>0.05</v>
      </c>
      <c r="D74" s="45">
        <v>0.05</v>
      </c>
      <c r="E74" s="45">
        <v>0.05</v>
      </c>
      <c r="F74" s="45">
        <v>0.05</v>
      </c>
      <c r="G74" s="45">
        <v>0.05</v>
      </c>
      <c r="H74" s="45">
        <v>0.05</v>
      </c>
      <c r="I74" s="81"/>
    </row>
    <row r="75" spans="1:9" ht="18.75" customHeight="1" x14ac:dyDescent="0.3">
      <c r="A75" s="143" t="s">
        <v>130</v>
      </c>
      <c r="B75" s="125" t="s">
        <v>75</v>
      </c>
      <c r="C75" s="45">
        <v>0.05</v>
      </c>
      <c r="D75" s="45">
        <v>0.05</v>
      </c>
      <c r="E75" s="45">
        <v>0.05</v>
      </c>
      <c r="F75" s="45">
        <v>0.05</v>
      </c>
      <c r="G75" s="45">
        <v>0.05</v>
      </c>
      <c r="H75" s="45">
        <v>0</v>
      </c>
      <c r="I75" s="81"/>
    </row>
    <row r="76" spans="1:9" ht="18.75" customHeight="1" x14ac:dyDescent="0.3">
      <c r="A76" s="143" t="s">
        <v>130</v>
      </c>
      <c r="B76" s="125" t="s">
        <v>76</v>
      </c>
      <c r="C76" s="128">
        <v>1</v>
      </c>
      <c r="D76" s="128">
        <v>1</v>
      </c>
      <c r="E76" s="128">
        <v>1</v>
      </c>
      <c r="F76" s="128">
        <v>1</v>
      </c>
      <c r="G76" s="128">
        <v>1</v>
      </c>
      <c r="H76" s="128">
        <v>0.75</v>
      </c>
      <c r="I76" s="125"/>
    </row>
    <row r="77" spans="1:9" ht="18.75" customHeight="1" x14ac:dyDescent="0.3">
      <c r="A77" s="143" t="s">
        <v>130</v>
      </c>
      <c r="B77" s="125" t="s">
        <v>77</v>
      </c>
      <c r="C77" s="128">
        <v>29</v>
      </c>
      <c r="D77" s="128">
        <f>C77</f>
        <v>29</v>
      </c>
      <c r="E77" s="128">
        <f t="shared" ref="E77:H77" si="20">D77</f>
        <v>29</v>
      </c>
      <c r="F77" s="128">
        <f t="shared" si="20"/>
        <v>29</v>
      </c>
      <c r="G77" s="128">
        <f t="shared" si="20"/>
        <v>29</v>
      </c>
      <c r="H77" s="128">
        <f t="shared" si="20"/>
        <v>29</v>
      </c>
      <c r="I77" s="125"/>
    </row>
    <row r="78" spans="1:9" ht="18.75" customHeight="1" x14ac:dyDescent="0.3">
      <c r="A78" s="143" t="s">
        <v>130</v>
      </c>
      <c r="B78" s="125" t="s">
        <v>78</v>
      </c>
      <c r="C78" s="128">
        <v>28</v>
      </c>
      <c r="D78" s="128">
        <f>C78</f>
        <v>28</v>
      </c>
      <c r="E78" s="128">
        <f t="shared" ref="E78:H78" si="21">D78</f>
        <v>28</v>
      </c>
      <c r="F78" s="128">
        <f t="shared" si="21"/>
        <v>28</v>
      </c>
      <c r="G78" s="128">
        <f t="shared" si="21"/>
        <v>28</v>
      </c>
      <c r="H78" s="128">
        <f t="shared" si="21"/>
        <v>28</v>
      </c>
      <c r="I78" s="125"/>
    </row>
    <row r="79" spans="1:9" ht="18.75" customHeight="1" x14ac:dyDescent="0.3">
      <c r="A79" s="143" t="s">
        <v>130</v>
      </c>
      <c r="B79" s="125" t="s">
        <v>109</v>
      </c>
      <c r="C79" s="134">
        <v>1815</v>
      </c>
      <c r="D79" s="134">
        <f>C79</f>
        <v>1815</v>
      </c>
      <c r="E79" s="134">
        <f t="shared" ref="E79:H79" si="22">D79</f>
        <v>1815</v>
      </c>
      <c r="F79" s="134">
        <f t="shared" si="22"/>
        <v>1815</v>
      </c>
      <c r="G79" s="134">
        <f t="shared" si="22"/>
        <v>1815</v>
      </c>
      <c r="H79" s="134">
        <f t="shared" si="22"/>
        <v>1815</v>
      </c>
      <c r="I79" s="125"/>
    </row>
    <row r="80" spans="1:9" ht="18.75" customHeight="1" x14ac:dyDescent="0.3">
      <c r="A80" s="172" t="s">
        <v>130</v>
      </c>
      <c r="B80" s="177" t="s">
        <v>80</v>
      </c>
      <c r="C80" s="178">
        <v>300</v>
      </c>
      <c r="D80" s="178">
        <v>300</v>
      </c>
      <c r="E80" s="178">
        <v>300</v>
      </c>
      <c r="F80" s="178">
        <v>300</v>
      </c>
      <c r="G80" s="178">
        <v>300</v>
      </c>
      <c r="H80" s="178">
        <v>300</v>
      </c>
      <c r="I80" s="147"/>
    </row>
    <row r="81" spans="1:10" ht="18" customHeight="1" x14ac:dyDescent="0.3">
      <c r="A81" s="179" t="s">
        <v>226</v>
      </c>
      <c r="B81" s="157" t="s">
        <v>274</v>
      </c>
      <c r="C81" s="158">
        <f>19.25+4.5</f>
        <v>23.75</v>
      </c>
      <c r="D81" s="158">
        <f>C81</f>
        <v>23.75</v>
      </c>
      <c r="E81" s="158">
        <f t="shared" ref="E81:H81" si="23">D81</f>
        <v>23.75</v>
      </c>
      <c r="F81" s="158">
        <f t="shared" si="23"/>
        <v>23.75</v>
      </c>
      <c r="G81" s="158">
        <f t="shared" si="23"/>
        <v>23.75</v>
      </c>
      <c r="H81" s="158">
        <f t="shared" si="23"/>
        <v>23.75</v>
      </c>
      <c r="I81" s="157" t="s">
        <v>309</v>
      </c>
    </row>
    <row r="82" spans="1:10" ht="18" customHeight="1" x14ac:dyDescent="0.3">
      <c r="A82" s="180" t="s">
        <v>226</v>
      </c>
      <c r="B82" s="125" t="s">
        <v>275</v>
      </c>
      <c r="C82" s="129">
        <f>20.25+4.5</f>
        <v>24.75</v>
      </c>
      <c r="D82" s="129">
        <f>C82</f>
        <v>24.75</v>
      </c>
      <c r="E82" s="129">
        <f t="shared" ref="E82" si="24">D82</f>
        <v>24.75</v>
      </c>
      <c r="F82" s="129">
        <f t="shared" ref="F82" si="25">E82</f>
        <v>24.75</v>
      </c>
      <c r="G82" s="129">
        <f t="shared" ref="G82" si="26">F82</f>
        <v>24.75</v>
      </c>
      <c r="H82" s="129">
        <f t="shared" ref="H82" si="27">G82</f>
        <v>24.75</v>
      </c>
      <c r="I82" s="125" t="s">
        <v>310</v>
      </c>
    </row>
    <row r="83" spans="1:10" ht="33" customHeight="1" x14ac:dyDescent="0.3">
      <c r="A83" s="181" t="s">
        <v>226</v>
      </c>
      <c r="B83" s="182" t="s">
        <v>276</v>
      </c>
      <c r="C83" s="183">
        <f>20.25+3.04+4.5</f>
        <v>27.79</v>
      </c>
      <c r="D83" s="183">
        <f>C83</f>
        <v>27.79</v>
      </c>
      <c r="E83" s="183">
        <f t="shared" ref="E83:H83" si="28">D83</f>
        <v>27.79</v>
      </c>
      <c r="F83" s="183">
        <f t="shared" si="28"/>
        <v>27.79</v>
      </c>
      <c r="G83" s="183">
        <f t="shared" si="28"/>
        <v>27.79</v>
      </c>
      <c r="H83" s="183">
        <f t="shared" si="28"/>
        <v>27.79</v>
      </c>
      <c r="I83" s="138" t="s">
        <v>311</v>
      </c>
    </row>
    <row r="85" spans="1:10" x14ac:dyDescent="0.3">
      <c r="I85" s="125"/>
    </row>
    <row r="86" spans="1:10" ht="13.8" x14ac:dyDescent="0.3">
      <c r="I86" s="144"/>
      <c r="J86" s="124"/>
    </row>
  </sheetData>
  <mergeCells count="1">
    <mergeCell ref="I21:I22"/>
  </mergeCells>
  <phoneticPr fontId="32" type="noConversion"/>
  <pageMargins left="0.7" right="0.7" top="0.75" bottom="0.75" header="0.3" footer="0.3"/>
  <pageSetup orientation="portrait" horizontalDpi="1200" verticalDpi="1200" r:id="rId1"/>
  <ignoredErrors>
    <ignoredError sqref="E38:H38 G52:H52"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4"/>
  <sheetViews>
    <sheetView zoomScale="90" zoomScaleNormal="90" workbookViewId="0">
      <selection activeCell="B2" sqref="B2:I2"/>
    </sheetView>
  </sheetViews>
  <sheetFormatPr defaultColWidth="9.109375" defaultRowHeight="13.8" x14ac:dyDescent="0.3"/>
  <cols>
    <col min="1" max="1" width="5.109375" style="90" customWidth="1"/>
    <col min="2" max="2" width="22.21875" style="90" customWidth="1"/>
    <col min="3" max="3" width="45.109375" style="77" customWidth="1"/>
    <col min="4" max="4" width="12.6640625" style="77" customWidth="1"/>
    <col min="5" max="5" width="11.44140625" style="77" customWidth="1"/>
    <col min="6" max="6" width="11.6640625" style="77" customWidth="1"/>
    <col min="7" max="7" width="12.6640625" style="77" customWidth="1"/>
    <col min="8" max="8" width="12.44140625" style="77" customWidth="1"/>
    <col min="9" max="9" width="16.88671875" style="77" customWidth="1"/>
    <col min="10" max="10" width="10.6640625" style="77" customWidth="1"/>
    <col min="11" max="16384" width="9.109375" style="77"/>
  </cols>
  <sheetData>
    <row r="2" spans="1:12" s="86" customFormat="1" ht="37.950000000000003" customHeight="1" x14ac:dyDescent="0.3">
      <c r="A2" s="88"/>
      <c r="B2" s="318" t="s">
        <v>490</v>
      </c>
      <c r="C2" s="318"/>
      <c r="D2" s="318"/>
      <c r="E2" s="318"/>
      <c r="F2" s="318"/>
      <c r="G2" s="318"/>
      <c r="H2" s="318"/>
      <c r="I2" s="318"/>
      <c r="J2" s="117"/>
      <c r="K2" s="89"/>
    </row>
    <row r="3" spans="1:12" s="78" customFormat="1" ht="48" customHeight="1" x14ac:dyDescent="0.3">
      <c r="A3" s="215"/>
      <c r="B3" s="225" t="s">
        <v>407</v>
      </c>
      <c r="C3" s="234" t="s">
        <v>408</v>
      </c>
      <c r="D3" s="235" t="s">
        <v>0</v>
      </c>
      <c r="E3" s="226" t="s">
        <v>1</v>
      </c>
      <c r="F3" s="226" t="s">
        <v>2</v>
      </c>
      <c r="G3" s="226" t="s">
        <v>3</v>
      </c>
      <c r="H3" s="226" t="s">
        <v>21</v>
      </c>
      <c r="I3" s="227" t="s">
        <v>401</v>
      </c>
      <c r="J3" s="75"/>
      <c r="K3" s="91"/>
    </row>
    <row r="4" spans="1:12" ht="16.8" x14ac:dyDescent="0.25">
      <c r="B4" s="228" t="s">
        <v>409</v>
      </c>
      <c r="C4" s="13" t="s">
        <v>374</v>
      </c>
      <c r="D4" s="219">
        <v>0</v>
      </c>
      <c r="E4" s="219">
        <v>0</v>
      </c>
      <c r="F4" s="216">
        <f>'App9. Data for tables'!E$7*'App9. Data for tables'!E$62</f>
        <v>34.4</v>
      </c>
      <c r="G4" s="216">
        <f>'App9. Data for tables'!F$7*'App9. Data for tables'!F$62</f>
        <v>49.6</v>
      </c>
      <c r="H4" s="216">
        <f>'App9. Data for tables'!G$7*'App9. Data for tables'!G$62</f>
        <v>64.8</v>
      </c>
      <c r="I4" s="216">
        <f>'App9. Data for tables'!H$7*'App9. Data for tables'!H$62</f>
        <v>79.2</v>
      </c>
      <c r="J4" s="75"/>
      <c r="K4" s="119"/>
    </row>
    <row r="5" spans="1:12" ht="18" customHeight="1" x14ac:dyDescent="0.25">
      <c r="B5" s="228" t="s">
        <v>410</v>
      </c>
      <c r="C5" s="19" t="s">
        <v>399</v>
      </c>
      <c r="D5" s="217">
        <f>$F$5</f>
        <v>455</v>
      </c>
      <c r="E5" s="217">
        <f>$F$5</f>
        <v>455</v>
      </c>
      <c r="F5" s="216">
        <f>'App9. Data for tables'!$F$4</f>
        <v>455</v>
      </c>
      <c r="G5" s="216">
        <f>'App9. Data for tables'!$F$4</f>
        <v>455</v>
      </c>
      <c r="H5" s="216">
        <f>'App9. Data for tables'!$G$4</f>
        <v>455</v>
      </c>
      <c r="I5" s="216">
        <f>'App9. Data for tables'!$H$4</f>
        <v>455</v>
      </c>
      <c r="J5" s="75"/>
      <c r="K5" s="91"/>
    </row>
    <row r="6" spans="1:12" ht="18" customHeight="1" x14ac:dyDescent="0.25">
      <c r="B6" s="228" t="s">
        <v>410</v>
      </c>
      <c r="C6" s="19" t="s">
        <v>400</v>
      </c>
      <c r="D6" s="185">
        <f>$F$6</f>
        <v>26</v>
      </c>
      <c r="E6" s="185">
        <f>$F$6</f>
        <v>26</v>
      </c>
      <c r="F6" s="185">
        <f>'App9. Data for tables'!E$3</f>
        <v>26</v>
      </c>
      <c r="G6" s="185">
        <f>'App9. Data for tables'!F$3</f>
        <v>26</v>
      </c>
      <c r="H6" s="185">
        <f>'App9. Data for tables'!G$3</f>
        <v>26</v>
      </c>
      <c r="I6" s="185">
        <f>'App9. Data for tables'!H$3</f>
        <v>26</v>
      </c>
      <c r="J6" s="75"/>
      <c r="K6" s="91"/>
    </row>
    <row r="7" spans="1:12" ht="18" customHeight="1" x14ac:dyDescent="0.25">
      <c r="B7" s="228" t="s">
        <v>411</v>
      </c>
      <c r="C7" s="237" t="s">
        <v>317</v>
      </c>
      <c r="D7" s="238">
        <f t="shared" ref="D7:E7" si="0">D4*D5</f>
        <v>0</v>
      </c>
      <c r="E7" s="238">
        <f t="shared" si="0"/>
        <v>0</v>
      </c>
      <c r="F7" s="238">
        <f>F4*F5</f>
        <v>15652</v>
      </c>
      <c r="G7" s="238">
        <f>G4*G5</f>
        <v>22568</v>
      </c>
      <c r="H7" s="238">
        <f>H4*H5</f>
        <v>29484</v>
      </c>
      <c r="I7" s="238">
        <f>I4*I5</f>
        <v>36036</v>
      </c>
      <c r="J7" s="75"/>
      <c r="K7" s="91"/>
    </row>
    <row r="8" spans="1:12" ht="36" customHeight="1" x14ac:dyDescent="0.25">
      <c r="B8" s="228" t="s">
        <v>412</v>
      </c>
      <c r="C8" s="19" t="s">
        <v>33</v>
      </c>
      <c r="D8" s="185">
        <f>SUM('App5. Estab Costs'!$F$5:$F$8)</f>
        <v>1519.79</v>
      </c>
      <c r="E8" s="185">
        <v>0</v>
      </c>
      <c r="F8" s="185">
        <v>0</v>
      </c>
      <c r="G8" s="185">
        <v>0</v>
      </c>
      <c r="H8" s="185">
        <v>0</v>
      </c>
      <c r="I8" s="185">
        <v>0</v>
      </c>
      <c r="J8" s="75"/>
      <c r="L8" s="78"/>
    </row>
    <row r="9" spans="1:12" ht="18" customHeight="1" x14ac:dyDescent="0.25">
      <c r="B9" s="228" t="s">
        <v>412</v>
      </c>
      <c r="C9" s="19" t="s">
        <v>60</v>
      </c>
      <c r="D9" s="185">
        <f>SUM('App5. Estab Costs'!$F$9:$F$10)</f>
        <v>19937.774999999998</v>
      </c>
      <c r="E9" s="185">
        <v>0</v>
      </c>
      <c r="F9" s="185">
        <v>0</v>
      </c>
      <c r="G9" s="185">
        <v>0</v>
      </c>
      <c r="H9" s="185">
        <v>0</v>
      </c>
      <c r="I9" s="185">
        <v>0</v>
      </c>
      <c r="J9" s="75"/>
    </row>
    <row r="10" spans="1:12" ht="18" customHeight="1" x14ac:dyDescent="0.25">
      <c r="B10" s="228" t="s">
        <v>412</v>
      </c>
      <c r="C10" s="19" t="s">
        <v>375</v>
      </c>
      <c r="D10" s="185">
        <f>'App5. Estab Costs'!$F$16</f>
        <v>1733.75</v>
      </c>
      <c r="E10" s="185">
        <f>'App5. Estab Costs'!$F$33</f>
        <v>1567.5</v>
      </c>
      <c r="F10" s="185">
        <f>'App5. Estab Costs'!$F$51</f>
        <v>1282.5</v>
      </c>
      <c r="G10" s="185">
        <f>'App5. Estab Costs'!$F$73</f>
        <v>688.75</v>
      </c>
      <c r="H10" s="185">
        <f>'App5. Estab Costs'!$F$95</f>
        <v>1021.25</v>
      </c>
      <c r="I10" s="185">
        <f>'App6. Full Prod Costs'!$E$5</f>
        <v>1306.25</v>
      </c>
      <c r="J10" s="75"/>
    </row>
    <row r="11" spans="1:12" ht="18" customHeight="1" x14ac:dyDescent="0.25">
      <c r="B11" s="228" t="s">
        <v>412</v>
      </c>
      <c r="C11" s="19" t="s">
        <v>376</v>
      </c>
      <c r="D11" s="185">
        <f>'App5. Estab Costs'!$F$17</f>
        <v>0</v>
      </c>
      <c r="E11" s="185">
        <f>'App5. Estab Costs'!$F$34</f>
        <v>0</v>
      </c>
      <c r="F11" s="185">
        <f>'App5. Estab Costs'!$F$52</f>
        <v>0</v>
      </c>
      <c r="G11" s="185">
        <f>'App5. Estab Costs'!$F$74</f>
        <v>0</v>
      </c>
      <c r="H11" s="185">
        <f>'App5. Estab Costs'!$F$96</f>
        <v>0</v>
      </c>
      <c r="I11" s="185">
        <f>'App6. Full Prod Costs'!$E$6</f>
        <v>0</v>
      </c>
      <c r="J11" s="75"/>
    </row>
    <row r="12" spans="1:12" ht="18" customHeight="1" x14ac:dyDescent="0.25">
      <c r="B12" s="228" t="s">
        <v>412</v>
      </c>
      <c r="C12" s="19" t="s">
        <v>377</v>
      </c>
      <c r="D12" s="185">
        <f>'App5. Estab Costs'!$F$18</f>
        <v>277.95</v>
      </c>
      <c r="E12" s="185">
        <f>'App5. Estab Costs'!$F$35</f>
        <v>748.06</v>
      </c>
      <c r="F12" s="185">
        <f>'App5. Estab Costs'!$F$53</f>
        <v>1874.8</v>
      </c>
      <c r="G12" s="185">
        <f>'App5. Estab Costs'!$F$75</f>
        <v>1874.8</v>
      </c>
      <c r="H12" s="185">
        <f>'App5. Estab Costs'!$F$97</f>
        <v>1874.8</v>
      </c>
      <c r="I12" s="185">
        <f>'App6. Full Prod Costs'!$E$7</f>
        <v>1874.8</v>
      </c>
      <c r="J12" s="75"/>
    </row>
    <row r="13" spans="1:12" ht="18" customHeight="1" x14ac:dyDescent="0.25">
      <c r="B13" s="228" t="s">
        <v>412</v>
      </c>
      <c r="C13" s="19" t="s">
        <v>378</v>
      </c>
      <c r="D13" s="185">
        <f>'App5. Estab Costs'!$F$19+'App5. Estab Costs'!$F$20</f>
        <v>90</v>
      </c>
      <c r="E13" s="185">
        <f>'App5. Estab Costs'!$F$36+'App5. Estab Costs'!$F$37</f>
        <v>90</v>
      </c>
      <c r="F13" s="185">
        <f>'App5. Estab Costs'!$F$54+'App5. Estab Costs'!$F$55</f>
        <v>275.5</v>
      </c>
      <c r="G13" s="185">
        <f>'App5. Estab Costs'!$F$76+'App5. Estab Costs'!$F$77</f>
        <v>275.5</v>
      </c>
      <c r="H13" s="185">
        <f>'App5. Estab Costs'!$F$98+'App5. Estab Costs'!$F$99</f>
        <v>275.5</v>
      </c>
      <c r="I13" s="185">
        <f>'App6. Full Prod Costs'!$E$8+'App6. Full Prod Costs'!$E$9</f>
        <v>275.5</v>
      </c>
      <c r="J13" s="75"/>
    </row>
    <row r="14" spans="1:12" ht="18" customHeight="1" x14ac:dyDescent="0.25">
      <c r="A14" s="77"/>
      <c r="B14" s="228" t="s">
        <v>412</v>
      </c>
      <c r="C14" s="19" t="s">
        <v>138</v>
      </c>
      <c r="D14" s="185">
        <f>'App5. Estab Costs'!$F$21+'App5. Estab Costs'!$F$22</f>
        <v>350</v>
      </c>
      <c r="E14" s="185">
        <f>'App5. Estab Costs'!$F$38+'App5. Estab Costs'!$F$39</f>
        <v>350</v>
      </c>
      <c r="F14" s="185">
        <f>'App5. Estab Costs'!$F$56+'App5. Estab Costs'!$F$57</f>
        <v>350</v>
      </c>
      <c r="G14" s="185">
        <f>'App5. Estab Costs'!$F$78+'App5. Estab Costs'!$F$79</f>
        <v>365</v>
      </c>
      <c r="H14" s="185">
        <f>'App5. Estab Costs'!$F$100+'App5. Estab Costs'!$F$101</f>
        <v>365</v>
      </c>
      <c r="I14" s="185">
        <f>'App6. Full Prod Costs'!$E$10+'App6. Full Prod Costs'!$E$11</f>
        <v>365</v>
      </c>
      <c r="J14" s="75"/>
    </row>
    <row r="15" spans="1:12" ht="18" customHeight="1" x14ac:dyDescent="0.25">
      <c r="A15" s="77"/>
      <c r="B15" s="228" t="s">
        <v>412</v>
      </c>
      <c r="C15" s="19" t="s">
        <v>296</v>
      </c>
      <c r="D15" s="185">
        <f>'App5. Estab Costs'!$F$23</f>
        <v>361.27</v>
      </c>
      <c r="E15" s="185">
        <f>'App5. Estab Costs'!$F$40</f>
        <v>361.27</v>
      </c>
      <c r="F15" s="185">
        <f>'App5. Estab Costs'!$F$58</f>
        <v>361.27</v>
      </c>
      <c r="G15" s="185">
        <f>'App5. Estab Costs'!$F$80</f>
        <v>361.27</v>
      </c>
      <c r="H15" s="185">
        <f>'App5. Estab Costs'!$F$102</f>
        <v>361.27</v>
      </c>
      <c r="I15" s="185">
        <f>'App6. Full Prod Costs'!$E$12</f>
        <v>361.27</v>
      </c>
      <c r="J15" s="75"/>
    </row>
    <row r="16" spans="1:12" ht="18" customHeight="1" x14ac:dyDescent="0.25">
      <c r="B16" s="228" t="s">
        <v>412</v>
      </c>
      <c r="C16" s="19" t="s">
        <v>379</v>
      </c>
      <c r="D16" s="185">
        <v>0</v>
      </c>
      <c r="E16" s="185">
        <v>0</v>
      </c>
      <c r="F16" s="185">
        <f>'App5. Estab Costs'!$F$50</f>
        <v>0</v>
      </c>
      <c r="G16" s="185">
        <f>'App5. Estab Costs'!$F$72</f>
        <v>0</v>
      </c>
      <c r="H16" s="185">
        <f>'App5. Estab Costs'!$F$94</f>
        <v>0</v>
      </c>
      <c r="I16" s="185">
        <f>'App6. Full Prod Costs'!$E$4</f>
        <v>0</v>
      </c>
      <c r="J16" s="75"/>
    </row>
    <row r="17" spans="1:12" ht="18" customHeight="1" x14ac:dyDescent="0.25">
      <c r="A17" s="77"/>
      <c r="B17" s="228" t="s">
        <v>412</v>
      </c>
      <c r="C17" s="19" t="s">
        <v>380</v>
      </c>
      <c r="D17" s="185">
        <f>'App5. Estab Costs'!$F$25</f>
        <v>9.9</v>
      </c>
      <c r="E17" s="185">
        <f>'App5. Estab Costs'!$F$41</f>
        <v>9.9</v>
      </c>
      <c r="F17" s="185">
        <f>'App5. Estab Costs'!$F$60</f>
        <v>9.9</v>
      </c>
      <c r="G17" s="185">
        <f>'App5. Estab Costs'!$F$82</f>
        <v>9.9</v>
      </c>
      <c r="H17" s="185">
        <f>'App5. Estab Costs'!$F$104</f>
        <v>9.9</v>
      </c>
      <c r="I17" s="185">
        <f>'App6. Full Prod Costs'!$E$14</f>
        <v>9.9</v>
      </c>
      <c r="J17" s="75"/>
    </row>
    <row r="18" spans="1:12" ht="18" customHeight="1" x14ac:dyDescent="0.25">
      <c r="A18" s="77"/>
      <c r="B18" s="228" t="s">
        <v>412</v>
      </c>
      <c r="C18" s="19" t="s">
        <v>10</v>
      </c>
      <c r="D18" s="185">
        <v>0</v>
      </c>
      <c r="E18" s="185">
        <v>0</v>
      </c>
      <c r="F18" s="185">
        <f>'App5. Estab Costs'!$F$59</f>
        <v>65</v>
      </c>
      <c r="G18" s="185">
        <f>'App5. Estab Costs'!$F$81</f>
        <v>65</v>
      </c>
      <c r="H18" s="185">
        <f>'App5. Estab Costs'!F103</f>
        <v>65</v>
      </c>
      <c r="I18" s="185">
        <f>'App6. Full Prod Costs'!$E$13</f>
        <v>65</v>
      </c>
      <c r="J18" s="75"/>
    </row>
    <row r="19" spans="1:12" ht="18" customHeight="1" x14ac:dyDescent="0.25">
      <c r="A19" s="77"/>
      <c r="B19" s="228" t="s">
        <v>412</v>
      </c>
      <c r="C19" s="19" t="s">
        <v>381</v>
      </c>
      <c r="D19" s="185">
        <f>'App5. Estab Costs'!$F$28</f>
        <v>300</v>
      </c>
      <c r="E19" s="185">
        <f>'App5. Estab Costs'!$F$44</f>
        <v>300</v>
      </c>
      <c r="F19" s="185">
        <f>'App5. Estab Costs'!$F$63</f>
        <v>300</v>
      </c>
      <c r="G19" s="185">
        <f>'App5. Estab Costs'!$F$85</f>
        <v>300</v>
      </c>
      <c r="H19" s="185">
        <f>'App5. Estab Costs'!$F$107</f>
        <v>300</v>
      </c>
      <c r="I19" s="185">
        <f>'App6. Full Prod Costs'!$E$17</f>
        <v>300</v>
      </c>
      <c r="J19" s="75"/>
    </row>
    <row r="20" spans="1:12" ht="18" customHeight="1" x14ac:dyDescent="0.25">
      <c r="A20" s="77"/>
      <c r="B20" s="228" t="s">
        <v>412</v>
      </c>
      <c r="C20" s="19" t="s">
        <v>14</v>
      </c>
      <c r="D20" s="185">
        <v>0</v>
      </c>
      <c r="E20" s="185">
        <v>0</v>
      </c>
      <c r="F20" s="185">
        <f>'App5. Estab Costs'!$F68</f>
        <v>1591</v>
      </c>
      <c r="G20" s="185">
        <f>'App5. Estab Costs'!$F90</f>
        <v>2294</v>
      </c>
      <c r="H20" s="185">
        <f>'App5. Estab Costs'!$F112</f>
        <v>2997</v>
      </c>
      <c r="I20" s="185">
        <f>'App6. Full Prod Costs'!$E22</f>
        <v>3663</v>
      </c>
      <c r="J20" s="75"/>
    </row>
    <row r="21" spans="1:12" ht="18" customHeight="1" x14ac:dyDescent="0.25">
      <c r="A21" s="77"/>
      <c r="B21" s="228" t="s">
        <v>412</v>
      </c>
      <c r="C21" s="19" t="s">
        <v>149</v>
      </c>
      <c r="D21" s="185">
        <v>0</v>
      </c>
      <c r="E21" s="185">
        <v>0</v>
      </c>
      <c r="F21" s="185">
        <f>'App5. Estab Costs'!$F69</f>
        <v>473</v>
      </c>
      <c r="G21" s="185">
        <f>'App5. Estab Costs'!$F91</f>
        <v>682</v>
      </c>
      <c r="H21" s="185">
        <f>'App5. Estab Costs'!$F113</f>
        <v>891</v>
      </c>
      <c r="I21" s="185">
        <f>'App6. Full Prod Costs'!$E23</f>
        <v>1089</v>
      </c>
      <c r="J21" s="75"/>
    </row>
    <row r="22" spans="1:12" ht="18" customHeight="1" x14ac:dyDescent="0.25">
      <c r="A22" s="77"/>
      <c r="B22" s="228" t="s">
        <v>412</v>
      </c>
      <c r="C22" s="19" t="s">
        <v>55</v>
      </c>
      <c r="D22" s="185">
        <v>0</v>
      </c>
      <c r="E22" s="185">
        <v>0</v>
      </c>
      <c r="F22" s="185">
        <f>'App5. Estab Costs'!$F70</f>
        <v>473</v>
      </c>
      <c r="G22" s="185">
        <f>'App5. Estab Costs'!$F92</f>
        <v>682</v>
      </c>
      <c r="H22" s="185">
        <f>'App5. Estab Costs'!$F114</f>
        <v>891</v>
      </c>
      <c r="I22" s="185">
        <f>'App6. Full Prod Costs'!$E24</f>
        <v>1089</v>
      </c>
      <c r="J22" s="75"/>
    </row>
    <row r="23" spans="1:12" ht="18" customHeight="1" x14ac:dyDescent="0.25">
      <c r="A23" s="77"/>
      <c r="B23" s="228" t="s">
        <v>412</v>
      </c>
      <c r="C23" s="239" t="s">
        <v>382</v>
      </c>
      <c r="D23" s="185">
        <v>0</v>
      </c>
      <c r="E23" s="185">
        <v>0</v>
      </c>
      <c r="F23" s="185">
        <f>'App5. Estab Costs'!$F71</f>
        <v>10836</v>
      </c>
      <c r="G23" s="185">
        <f>'App5. Estab Costs'!$F93</f>
        <v>15624</v>
      </c>
      <c r="H23" s="185">
        <f>'App5. Estab Costs'!$F115</f>
        <v>20412</v>
      </c>
      <c r="I23" s="185">
        <f>'App6. Full Prod Costs'!$E25</f>
        <v>24948</v>
      </c>
      <c r="J23" s="75"/>
    </row>
    <row r="24" spans="1:12" ht="18" customHeight="1" x14ac:dyDescent="0.25">
      <c r="A24" s="77"/>
      <c r="B24" s="228" t="s">
        <v>412</v>
      </c>
      <c r="C24" s="19" t="s">
        <v>133</v>
      </c>
      <c r="D24" s="185">
        <f>'App5. Estab Costs'!$F$26</f>
        <v>360</v>
      </c>
      <c r="E24" s="185">
        <f>'App5. Estab Costs'!$F$42</f>
        <v>360</v>
      </c>
      <c r="F24" s="185">
        <f>'App5. Estab Costs'!$F$61</f>
        <v>360</v>
      </c>
      <c r="G24" s="185">
        <f>'App5. Estab Costs'!$F$83</f>
        <v>425</v>
      </c>
      <c r="H24" s="185">
        <f>'App5. Estab Costs'!$F$105</f>
        <v>425</v>
      </c>
      <c r="I24" s="185">
        <f>'App6. Full Prod Costs'!$E$15</f>
        <v>425</v>
      </c>
      <c r="J24" s="75"/>
    </row>
    <row r="25" spans="1:12" ht="18" customHeight="1" x14ac:dyDescent="0.25">
      <c r="A25" s="77"/>
      <c r="B25" s="228" t="s">
        <v>412</v>
      </c>
      <c r="C25" s="19" t="s">
        <v>57</v>
      </c>
      <c r="D25" s="185">
        <f>'App5. Estab Costs'!$F$27</f>
        <v>270</v>
      </c>
      <c r="E25" s="185">
        <f>'App5. Estab Costs'!$F$43</f>
        <v>270</v>
      </c>
      <c r="F25" s="185">
        <f>'App5. Estab Costs'!$F$62</f>
        <v>270</v>
      </c>
      <c r="G25" s="185">
        <f>'App5. Estab Costs'!$F$84</f>
        <v>270</v>
      </c>
      <c r="H25" s="185">
        <f>'App5. Estab Costs'!$F$106</f>
        <v>270</v>
      </c>
      <c r="I25" s="185">
        <f>'App6. Full Prod Costs'!$E$16</f>
        <v>270</v>
      </c>
      <c r="J25" s="75"/>
    </row>
    <row r="26" spans="1:12" ht="18" customHeight="1" x14ac:dyDescent="0.25">
      <c r="A26" s="77"/>
      <c r="B26" s="228" t="s">
        <v>412</v>
      </c>
      <c r="C26" s="19" t="s">
        <v>383</v>
      </c>
      <c r="D26" s="185">
        <f>SUM(D8:D25)*'App9. Data for tables'!$C$73</f>
        <v>1260.5217500000001</v>
      </c>
      <c r="E26" s="185">
        <f>SUM(E8:E25)*'App9. Data for tables'!$C$73</f>
        <v>202.8365</v>
      </c>
      <c r="F26" s="185">
        <f>SUM(F8:F25)*'App9. Data for tables'!$C$73</f>
        <v>926.09850000000006</v>
      </c>
      <c r="G26" s="185">
        <f>SUM(G8:G25)*'App9. Data for tables'!$C$73</f>
        <v>1195.8610000000001</v>
      </c>
      <c r="H26" s="185">
        <f>SUM(H8:H25)*'App9. Data for tables'!$C$73</f>
        <v>1507.9360000000001</v>
      </c>
      <c r="I26" s="185">
        <f>SUM(I8:I25)*'App9. Data for tables'!$H$73</f>
        <v>1802.0860000000002</v>
      </c>
      <c r="J26" s="75"/>
    </row>
    <row r="27" spans="1:12" ht="18" customHeight="1" x14ac:dyDescent="0.25">
      <c r="A27" s="77"/>
      <c r="B27" s="228" t="s">
        <v>412</v>
      </c>
      <c r="C27" s="19" t="s">
        <v>384</v>
      </c>
      <c r="D27" s="185">
        <f>SUM(D8:D26)*'App9. Data for tables'!$C$74*'App9. Data for tables'!$C$76</f>
        <v>1323.5478375000002</v>
      </c>
      <c r="E27" s="185">
        <f>SUM(E8:E26)*'App9. Data for tables'!$D$74*'App9. Data for tables'!$D$76</f>
        <v>212.97832500000001</v>
      </c>
      <c r="F27" s="185">
        <f>SUM(F8:F26)*'App9. Data for tables'!$E$74*'App9. Data for tables'!$E$76</f>
        <v>972.40342500000008</v>
      </c>
      <c r="G27" s="185">
        <f>SUM(G8:G26)*'App9. Data for tables'!$F$74*'App9. Data for tables'!$F$76</f>
        <v>1255.6540500000001</v>
      </c>
      <c r="H27" s="185">
        <f>SUM(H8:H26)*'App9. Data for tables'!$G$74*'App9. Data for tables'!$G$76</f>
        <v>1583.3328000000001</v>
      </c>
      <c r="I27" s="185">
        <f>SUM(I8:I26)*'App9. Data for tables'!$H$74*'App9. Data for tables'!$H$76</f>
        <v>1419.1427250000002</v>
      </c>
      <c r="J27" s="75"/>
      <c r="L27" s="78"/>
    </row>
    <row r="28" spans="1:12" s="109" customFormat="1" ht="18" customHeight="1" x14ac:dyDescent="0.25">
      <c r="B28" s="229" t="s">
        <v>413</v>
      </c>
      <c r="C28" s="240" t="s">
        <v>18</v>
      </c>
      <c r="D28" s="238">
        <f t="shared" ref="D28:I28" si="1">SUM(D8:D27)</f>
        <v>27794.5045875</v>
      </c>
      <c r="E28" s="238">
        <f t="shared" si="1"/>
        <v>4472.5448249999999</v>
      </c>
      <c r="F28" s="238">
        <f t="shared" si="1"/>
        <v>20420.471925000002</v>
      </c>
      <c r="G28" s="238">
        <f t="shared" si="1"/>
        <v>26368.735050000003</v>
      </c>
      <c r="H28" s="238">
        <f t="shared" si="1"/>
        <v>33249.988800000006</v>
      </c>
      <c r="I28" s="238">
        <f t="shared" si="1"/>
        <v>39262.948725000002</v>
      </c>
      <c r="J28" s="92"/>
    </row>
    <row r="29" spans="1:12" s="109" customFormat="1" ht="18" customHeight="1" x14ac:dyDescent="0.25">
      <c r="B29" s="229" t="s">
        <v>414</v>
      </c>
      <c r="C29" s="240" t="s">
        <v>415</v>
      </c>
      <c r="D29" s="241">
        <f t="shared" ref="D29:I29" si="2">D7-D28</f>
        <v>-27794.5045875</v>
      </c>
      <c r="E29" s="241">
        <f t="shared" si="2"/>
        <v>-4472.5448249999999</v>
      </c>
      <c r="F29" s="241">
        <f t="shared" si="2"/>
        <v>-4768.4719250000016</v>
      </c>
      <c r="G29" s="241">
        <f t="shared" si="2"/>
        <v>-3800.735050000003</v>
      </c>
      <c r="H29" s="241">
        <f t="shared" si="2"/>
        <v>-3765.9888000000064</v>
      </c>
      <c r="I29" s="241">
        <f t="shared" si="2"/>
        <v>-3226.948725000002</v>
      </c>
      <c r="J29" s="92"/>
    </row>
    <row r="30" spans="1:12" ht="36" customHeight="1" x14ac:dyDescent="0.25">
      <c r="A30" s="77"/>
      <c r="B30" s="228" t="s">
        <v>416</v>
      </c>
      <c r="C30" s="19" t="s">
        <v>112</v>
      </c>
      <c r="D30" s="185">
        <f>'App5. Estab Costs'!$F29</f>
        <v>190</v>
      </c>
      <c r="E30" s="185">
        <f>'App5. Estab Costs'!$F45</f>
        <v>190</v>
      </c>
      <c r="F30" s="185">
        <f>'App5. Estab Costs'!$F64</f>
        <v>190</v>
      </c>
      <c r="G30" s="185">
        <f>'App5. Estab Costs'!$F86</f>
        <v>190</v>
      </c>
      <c r="H30" s="185">
        <f>'App5. Estab Costs'!$F108</f>
        <v>190</v>
      </c>
      <c r="I30" s="185">
        <f>'App6. Full Prod Costs'!$E18</f>
        <v>190</v>
      </c>
      <c r="J30" s="75"/>
    </row>
    <row r="31" spans="1:12" ht="18" customHeight="1" x14ac:dyDescent="0.25">
      <c r="A31" s="77"/>
      <c r="B31" s="228" t="s">
        <v>416</v>
      </c>
      <c r="C31" s="19" t="s">
        <v>51</v>
      </c>
      <c r="D31" s="185">
        <f>'App5. Estab Costs'!$F30</f>
        <v>200</v>
      </c>
      <c r="E31" s="185">
        <f>'App5. Estab Costs'!$F46</f>
        <v>200</v>
      </c>
      <c r="F31" s="185">
        <f>'App5. Estab Costs'!$F65</f>
        <v>200</v>
      </c>
      <c r="G31" s="185">
        <f>'App5. Estab Costs'!$F87</f>
        <v>200</v>
      </c>
      <c r="H31" s="185">
        <f>'App5. Estab Costs'!$F109</f>
        <v>200</v>
      </c>
      <c r="I31" s="185">
        <f>'App6. Full Prod Costs'!$E19</f>
        <v>200</v>
      </c>
      <c r="J31" s="75"/>
    </row>
    <row r="32" spans="1:12" ht="18" customHeight="1" x14ac:dyDescent="0.25">
      <c r="A32" s="77"/>
      <c r="B32" s="228" t="s">
        <v>416</v>
      </c>
      <c r="C32" s="19" t="s">
        <v>268</v>
      </c>
      <c r="D32" s="185">
        <f>'App5. Estab Costs'!$F31</f>
        <v>600</v>
      </c>
      <c r="E32" s="185">
        <f>'App5. Estab Costs'!$F47</f>
        <v>600</v>
      </c>
      <c r="F32" s="185">
        <f>'App5. Estab Costs'!$F66</f>
        <v>600</v>
      </c>
      <c r="G32" s="185">
        <f>'App5. Estab Costs'!$F88</f>
        <v>600</v>
      </c>
      <c r="H32" s="185">
        <f>'App5. Estab Costs'!$F110</f>
        <v>600</v>
      </c>
      <c r="I32" s="185">
        <f>'App6. Full Prod Costs'!$E20</f>
        <v>600</v>
      </c>
      <c r="J32" s="75"/>
    </row>
    <row r="33" spans="1:10" ht="18" customHeight="1" x14ac:dyDescent="0.25">
      <c r="A33" s="77"/>
      <c r="B33" s="229" t="s">
        <v>417</v>
      </c>
      <c r="C33" s="240" t="s">
        <v>313</v>
      </c>
      <c r="D33" s="238">
        <f t="shared" ref="D33:I33" si="3">SUM(D30:D32)</f>
        <v>990</v>
      </c>
      <c r="E33" s="238">
        <f t="shared" si="3"/>
        <v>990</v>
      </c>
      <c r="F33" s="238">
        <f t="shared" si="3"/>
        <v>990</v>
      </c>
      <c r="G33" s="238">
        <f t="shared" si="3"/>
        <v>990</v>
      </c>
      <c r="H33" s="238">
        <f t="shared" si="3"/>
        <v>990</v>
      </c>
      <c r="I33" s="238">
        <f t="shared" si="3"/>
        <v>990</v>
      </c>
      <c r="J33" s="75"/>
    </row>
    <row r="34" spans="1:10" ht="28.05" customHeight="1" x14ac:dyDescent="0.25">
      <c r="A34" s="77"/>
      <c r="B34" s="230" t="s">
        <v>418</v>
      </c>
      <c r="C34" s="240" t="s">
        <v>314</v>
      </c>
      <c r="D34" s="238">
        <f t="shared" ref="D34:I34" si="4">D28+D33</f>
        <v>28784.5045875</v>
      </c>
      <c r="E34" s="238">
        <f t="shared" si="4"/>
        <v>5462.5448249999999</v>
      </c>
      <c r="F34" s="238">
        <f t="shared" si="4"/>
        <v>21410.471925000002</v>
      </c>
      <c r="G34" s="238">
        <f t="shared" si="4"/>
        <v>27358.735050000003</v>
      </c>
      <c r="H34" s="238">
        <f t="shared" si="4"/>
        <v>34239.988800000006</v>
      </c>
      <c r="I34" s="238">
        <f t="shared" si="4"/>
        <v>40252.948725000002</v>
      </c>
      <c r="J34" s="75"/>
    </row>
    <row r="35" spans="1:10" ht="16.2" customHeight="1" x14ac:dyDescent="0.25">
      <c r="A35" s="77"/>
      <c r="B35" s="230" t="s">
        <v>414</v>
      </c>
      <c r="C35" s="240" t="s">
        <v>315</v>
      </c>
      <c r="D35" s="241">
        <f t="shared" ref="D35:I35" si="5">D7-D34</f>
        <v>-28784.5045875</v>
      </c>
      <c r="E35" s="241">
        <f t="shared" si="5"/>
        <v>-5462.5448249999999</v>
      </c>
      <c r="F35" s="241">
        <f t="shared" si="5"/>
        <v>-5758.4719250000016</v>
      </c>
      <c r="G35" s="241">
        <f t="shared" si="5"/>
        <v>-4790.735050000003</v>
      </c>
      <c r="H35" s="241">
        <f t="shared" si="5"/>
        <v>-4755.9888000000064</v>
      </c>
      <c r="I35" s="241">
        <f t="shared" si="5"/>
        <v>-4216.948725000002</v>
      </c>
      <c r="J35" s="75"/>
    </row>
    <row r="36" spans="1:10" ht="36" customHeight="1" x14ac:dyDescent="0.25">
      <c r="A36" s="77"/>
      <c r="B36" s="231" t="s">
        <v>8</v>
      </c>
      <c r="C36" s="19" t="s">
        <v>5</v>
      </c>
      <c r="D36" s="185">
        <f>'App3&amp;4. Int&amp;Dep'!$G$22</f>
        <v>160</v>
      </c>
      <c r="E36" s="185">
        <f>'App3&amp;4. Int&amp;Dep'!$G$22</f>
        <v>160</v>
      </c>
      <c r="F36" s="185">
        <f>'App3&amp;4. Int&amp;Dep'!$G$22</f>
        <v>160</v>
      </c>
      <c r="G36" s="185">
        <f>'App3&amp;4. Int&amp;Dep'!$G$22</f>
        <v>160</v>
      </c>
      <c r="H36" s="185">
        <f>'App3&amp;4. Int&amp;Dep'!$G$22</f>
        <v>160</v>
      </c>
      <c r="I36" s="185">
        <f>'App3&amp;4. Int&amp;Dep'!$G$22</f>
        <v>160</v>
      </c>
      <c r="J36" s="75"/>
    </row>
    <row r="37" spans="1:10" ht="18" customHeight="1" x14ac:dyDescent="0.3">
      <c r="A37" s="77"/>
      <c r="B37" s="231" t="s">
        <v>8</v>
      </c>
      <c r="C37" s="19" t="s">
        <v>419</v>
      </c>
      <c r="D37" s="185">
        <f>'App3&amp;4. Int&amp;Dep'!$G$23</f>
        <v>0</v>
      </c>
      <c r="E37" s="185">
        <f>'App3&amp;4. Int&amp;Dep'!$G$23</f>
        <v>0</v>
      </c>
      <c r="F37" s="185">
        <f>'App3&amp;4. Int&amp;Dep'!$G$23</f>
        <v>0</v>
      </c>
      <c r="G37" s="185">
        <f>'App3&amp;4. Int&amp;Dep'!$G$23</f>
        <v>0</v>
      </c>
      <c r="H37" s="185">
        <f>'App3&amp;4. Int&amp;Dep'!$G$23</f>
        <v>0</v>
      </c>
      <c r="I37" s="185">
        <f>'App3&amp;4. Int&amp;Dep'!$G$23</f>
        <v>0</v>
      </c>
      <c r="J37" s="75"/>
    </row>
    <row r="38" spans="1:10" ht="18" customHeight="1" x14ac:dyDescent="0.25">
      <c r="A38" s="77"/>
      <c r="B38" s="231" t="s">
        <v>8</v>
      </c>
      <c r="C38" s="19" t="s">
        <v>154</v>
      </c>
      <c r="D38" s="185">
        <f>'App3&amp;4. Int&amp;Dep'!$G$28</f>
        <v>306.93333333333334</v>
      </c>
      <c r="E38" s="185">
        <f>'App3&amp;4. Int&amp;Dep'!$G$28</f>
        <v>306.93333333333334</v>
      </c>
      <c r="F38" s="185">
        <f>'App3&amp;4. Int&amp;Dep'!$G$28</f>
        <v>306.93333333333334</v>
      </c>
      <c r="G38" s="185">
        <f>'App3&amp;4. Int&amp;Dep'!$G$28</f>
        <v>306.93333333333334</v>
      </c>
      <c r="H38" s="185">
        <f>'App3&amp;4. Int&amp;Dep'!$G$28</f>
        <v>306.93333333333334</v>
      </c>
      <c r="I38" s="185">
        <f>'App3&amp;4. Int&amp;Dep'!$G$28</f>
        <v>306.93333333333334</v>
      </c>
      <c r="J38" s="75"/>
    </row>
    <row r="39" spans="1:10" ht="18" customHeight="1" x14ac:dyDescent="0.25">
      <c r="A39" s="77"/>
      <c r="B39" s="231" t="s">
        <v>8</v>
      </c>
      <c r="C39" s="19" t="s">
        <v>6</v>
      </c>
      <c r="D39" s="185">
        <f>'App3&amp;4. Int&amp;Dep'!$G$24</f>
        <v>30</v>
      </c>
      <c r="E39" s="185">
        <f>'App3&amp;4. Int&amp;Dep'!$G$24</f>
        <v>30</v>
      </c>
      <c r="F39" s="185">
        <f>'App3&amp;4. Int&amp;Dep'!$G$24</f>
        <v>30</v>
      </c>
      <c r="G39" s="185">
        <f>'App3&amp;4. Int&amp;Dep'!$G$24</f>
        <v>30</v>
      </c>
      <c r="H39" s="185">
        <f>'App3&amp;4. Int&amp;Dep'!$G$24</f>
        <v>30</v>
      </c>
      <c r="I39" s="185">
        <f>'App3&amp;4. Int&amp;Dep'!$G$24</f>
        <v>30</v>
      </c>
      <c r="J39" s="75"/>
    </row>
    <row r="40" spans="1:10" ht="18" customHeight="1" x14ac:dyDescent="0.25">
      <c r="A40" s="77"/>
      <c r="B40" s="231" t="s">
        <v>8</v>
      </c>
      <c r="C40" s="19" t="s">
        <v>7</v>
      </c>
      <c r="D40" s="185">
        <f>'App3&amp;4. Int&amp;Dep'!$G$25</f>
        <v>60</v>
      </c>
      <c r="E40" s="185">
        <f>'App3&amp;4. Int&amp;Dep'!$G$25</f>
        <v>60</v>
      </c>
      <c r="F40" s="185">
        <f>'App3&amp;4. Int&amp;Dep'!$G$25</f>
        <v>60</v>
      </c>
      <c r="G40" s="185">
        <f>'App3&amp;4. Int&amp;Dep'!$G$25</f>
        <v>60</v>
      </c>
      <c r="H40" s="185">
        <f>'App3&amp;4. Int&amp;Dep'!$G$25</f>
        <v>60</v>
      </c>
      <c r="I40" s="185">
        <f>'App3&amp;4. Int&amp;Dep'!$G$25</f>
        <v>60</v>
      </c>
      <c r="J40" s="75"/>
    </row>
    <row r="41" spans="1:10" ht="18" customHeight="1" x14ac:dyDescent="0.25">
      <c r="A41" s="77"/>
      <c r="B41" s="231" t="s">
        <v>8</v>
      </c>
      <c r="C41" s="19" t="s">
        <v>9</v>
      </c>
      <c r="D41" s="185">
        <f>'App3&amp;4. Int&amp;Dep'!$G$26</f>
        <v>650</v>
      </c>
      <c r="E41" s="185">
        <f>'App3&amp;4. Int&amp;Dep'!$G$26</f>
        <v>650</v>
      </c>
      <c r="F41" s="185">
        <f>'App3&amp;4. Int&amp;Dep'!$G$26</f>
        <v>650</v>
      </c>
      <c r="G41" s="185">
        <f>'App3&amp;4. Int&amp;Dep'!$G$26</f>
        <v>650</v>
      </c>
      <c r="H41" s="185">
        <f>'App3&amp;4. Int&amp;Dep'!$G$26</f>
        <v>650</v>
      </c>
      <c r="I41" s="185">
        <f>'App3&amp;4. Int&amp;Dep'!$G$26</f>
        <v>650</v>
      </c>
      <c r="J41" s="75"/>
    </row>
    <row r="42" spans="1:10" ht="18" customHeight="1" x14ac:dyDescent="0.25">
      <c r="A42" s="77"/>
      <c r="B42" s="231" t="s">
        <v>8</v>
      </c>
      <c r="C42" s="19" t="s">
        <v>20</v>
      </c>
      <c r="D42" s="185">
        <f>'App3&amp;4. Int&amp;Dep'!$G$27</f>
        <v>133.86133333333333</v>
      </c>
      <c r="E42" s="185">
        <f>'App3&amp;4. Int&amp;Dep'!$G$27</f>
        <v>133.86133333333333</v>
      </c>
      <c r="F42" s="185">
        <f>'App3&amp;4. Int&amp;Dep'!$G$27</f>
        <v>133.86133333333333</v>
      </c>
      <c r="G42" s="185">
        <f>'App3&amp;4. Int&amp;Dep'!$G$27</f>
        <v>133.86133333333333</v>
      </c>
      <c r="H42" s="185">
        <f>'App3&amp;4. Int&amp;Dep'!$G$27</f>
        <v>133.86133333333333</v>
      </c>
      <c r="I42" s="185">
        <f>'App3&amp;4. Int&amp;Dep'!$G$27</f>
        <v>133.86133333333333</v>
      </c>
      <c r="J42" s="75"/>
    </row>
    <row r="43" spans="1:10" ht="18" customHeight="1" x14ac:dyDescent="0.25">
      <c r="A43" s="77"/>
      <c r="B43" s="228" t="s">
        <v>11</v>
      </c>
      <c r="C43" s="19" t="s">
        <v>5</v>
      </c>
      <c r="D43" s="185">
        <f>'App3&amp;4. Int&amp;Dep'!$G$4</f>
        <v>120</v>
      </c>
      <c r="E43" s="185">
        <f>'App3&amp;4. Int&amp;Dep'!$G$4</f>
        <v>120</v>
      </c>
      <c r="F43" s="185">
        <f>'App3&amp;4. Int&amp;Dep'!$G$4</f>
        <v>120</v>
      </c>
      <c r="G43" s="185">
        <f>'App3&amp;4. Int&amp;Dep'!$G$4</f>
        <v>120</v>
      </c>
      <c r="H43" s="185">
        <f>'App3&amp;4. Int&amp;Dep'!$G$4</f>
        <v>120</v>
      </c>
      <c r="I43" s="185">
        <f>'App3&amp;4. Int&amp;Dep'!$G$4</f>
        <v>120</v>
      </c>
      <c r="J43" s="75"/>
    </row>
    <row r="44" spans="1:10" ht="18" customHeight="1" x14ac:dyDescent="0.3">
      <c r="A44" s="77"/>
      <c r="B44" s="228" t="s">
        <v>11</v>
      </c>
      <c r="C44" s="19" t="s">
        <v>419</v>
      </c>
      <c r="D44" s="185">
        <f>'App3&amp;4. Int&amp;Dep'!$G$5</f>
        <v>0</v>
      </c>
      <c r="E44" s="185">
        <f>'App3&amp;4. Int&amp;Dep'!$G$5</f>
        <v>0</v>
      </c>
      <c r="F44" s="185">
        <f>'App3&amp;4. Int&amp;Dep'!$G$5</f>
        <v>0</v>
      </c>
      <c r="G44" s="185">
        <f>'App3&amp;4. Int&amp;Dep'!$G$5</f>
        <v>0</v>
      </c>
      <c r="H44" s="185">
        <f>'App3&amp;4. Int&amp;Dep'!$G$5</f>
        <v>0</v>
      </c>
      <c r="I44" s="185">
        <f>'App3&amp;4. Int&amp;Dep'!$G$5</f>
        <v>0</v>
      </c>
      <c r="J44" s="75"/>
    </row>
    <row r="45" spans="1:10" ht="18" customHeight="1" x14ac:dyDescent="0.25">
      <c r="A45" s="77"/>
      <c r="B45" s="228" t="s">
        <v>11</v>
      </c>
      <c r="C45" s="19" t="s">
        <v>385</v>
      </c>
      <c r="D45" s="185">
        <f>'App3&amp;4. Int&amp;Dep'!$G$6</f>
        <v>1000</v>
      </c>
      <c r="E45" s="185">
        <f>'App3&amp;4. Int&amp;Dep'!$G$6</f>
        <v>1000</v>
      </c>
      <c r="F45" s="185">
        <f>'App3&amp;4. Int&amp;Dep'!$G$6</f>
        <v>1000</v>
      </c>
      <c r="G45" s="185">
        <f>'App3&amp;4. Int&amp;Dep'!$G$6</f>
        <v>1000</v>
      </c>
      <c r="H45" s="185">
        <f>'App3&amp;4. Int&amp;Dep'!$G$6</f>
        <v>1000</v>
      </c>
      <c r="I45" s="185">
        <f>'App3&amp;4. Int&amp;Dep'!$G$6</f>
        <v>1000</v>
      </c>
      <c r="J45" s="75"/>
    </row>
    <row r="46" spans="1:10" ht="18" customHeight="1" x14ac:dyDescent="0.25">
      <c r="A46" s="77"/>
      <c r="B46" s="228" t="s">
        <v>11</v>
      </c>
      <c r="C46" s="19" t="s">
        <v>154</v>
      </c>
      <c r="D46" s="185">
        <f>'App3&amp;4. Int&amp;Dep'!$G$7</f>
        <v>106.4</v>
      </c>
      <c r="E46" s="185">
        <f>'App3&amp;4. Int&amp;Dep'!$G$7</f>
        <v>106.4</v>
      </c>
      <c r="F46" s="185">
        <f>'App3&amp;4. Int&amp;Dep'!$G$7</f>
        <v>106.4</v>
      </c>
      <c r="G46" s="185">
        <f>'App3&amp;4. Int&amp;Dep'!$G$7</f>
        <v>106.4</v>
      </c>
      <c r="H46" s="185">
        <f>'App3&amp;4. Int&amp;Dep'!$G$7</f>
        <v>106.4</v>
      </c>
      <c r="I46" s="185">
        <f>'App3&amp;4. Int&amp;Dep'!$G$7</f>
        <v>106.4</v>
      </c>
      <c r="J46" s="75"/>
    </row>
    <row r="47" spans="1:10" ht="18" customHeight="1" x14ac:dyDescent="0.25">
      <c r="A47" s="77"/>
      <c r="B47" s="228" t="s">
        <v>11</v>
      </c>
      <c r="C47" s="19" t="s">
        <v>6</v>
      </c>
      <c r="D47" s="185">
        <f>'App3&amp;4. Int&amp;Dep'!$G$8</f>
        <v>22.5</v>
      </c>
      <c r="E47" s="185">
        <f>'App3&amp;4. Int&amp;Dep'!$G$8</f>
        <v>22.5</v>
      </c>
      <c r="F47" s="185">
        <f>'App3&amp;4. Int&amp;Dep'!$G$8</f>
        <v>22.5</v>
      </c>
      <c r="G47" s="185">
        <f>'App3&amp;4. Int&amp;Dep'!$G$8</f>
        <v>22.5</v>
      </c>
      <c r="H47" s="185">
        <f>'App3&amp;4. Int&amp;Dep'!$G$8</f>
        <v>22.5</v>
      </c>
      <c r="I47" s="185">
        <f>'App3&amp;4. Int&amp;Dep'!$G$8</f>
        <v>22.5</v>
      </c>
      <c r="J47" s="75"/>
    </row>
    <row r="48" spans="1:10" ht="18" customHeight="1" x14ac:dyDescent="0.25">
      <c r="A48" s="77"/>
      <c r="B48" s="228" t="s">
        <v>11</v>
      </c>
      <c r="C48" s="19" t="s">
        <v>7</v>
      </c>
      <c r="D48" s="185">
        <f>'App3&amp;4. Int&amp;Dep'!$G$9</f>
        <v>75</v>
      </c>
      <c r="E48" s="185">
        <f>'App3&amp;4. Int&amp;Dep'!$G$9</f>
        <v>75</v>
      </c>
      <c r="F48" s="185">
        <f>'App3&amp;4. Int&amp;Dep'!$G$9</f>
        <v>75</v>
      </c>
      <c r="G48" s="185">
        <f>'App3&amp;4. Int&amp;Dep'!$G$9</f>
        <v>75</v>
      </c>
      <c r="H48" s="185">
        <f>'App3&amp;4. Int&amp;Dep'!$G$9</f>
        <v>75</v>
      </c>
      <c r="I48" s="185">
        <f>'App3&amp;4. Int&amp;Dep'!$G$9</f>
        <v>75</v>
      </c>
      <c r="J48" s="75"/>
    </row>
    <row r="49" spans="1:12" ht="18" customHeight="1" x14ac:dyDescent="0.25">
      <c r="A49" s="77"/>
      <c r="B49" s="228" t="s">
        <v>11</v>
      </c>
      <c r="C49" s="19" t="s">
        <v>9</v>
      </c>
      <c r="D49" s="185">
        <f>'App3&amp;4. Int&amp;Dep'!$G$10</f>
        <v>325</v>
      </c>
      <c r="E49" s="185">
        <f>'App3&amp;4. Int&amp;Dep'!$G$10</f>
        <v>325</v>
      </c>
      <c r="F49" s="185">
        <f>'App3&amp;4. Int&amp;Dep'!$G$10</f>
        <v>325</v>
      </c>
      <c r="G49" s="185">
        <f>'App3&amp;4. Int&amp;Dep'!$G$10</f>
        <v>325</v>
      </c>
      <c r="H49" s="185">
        <f>'App3&amp;4. Int&amp;Dep'!$G$10</f>
        <v>325</v>
      </c>
      <c r="I49" s="185">
        <f>'App3&amp;4. Int&amp;Dep'!$G$10</f>
        <v>325</v>
      </c>
      <c r="J49" s="75"/>
    </row>
    <row r="50" spans="1:12" ht="18" customHeight="1" x14ac:dyDescent="0.25">
      <c r="A50" s="77"/>
      <c r="B50" s="228" t="s">
        <v>11</v>
      </c>
      <c r="C50" s="19" t="s">
        <v>117</v>
      </c>
      <c r="D50" s="185">
        <f>'App3&amp;4. Int&amp;Dep'!$G$11</f>
        <v>100.396</v>
      </c>
      <c r="E50" s="185">
        <f>'App3&amp;4. Int&amp;Dep'!$G$11</f>
        <v>100.396</v>
      </c>
      <c r="F50" s="185">
        <f>'App3&amp;4. Int&amp;Dep'!$G$11</f>
        <v>100.396</v>
      </c>
      <c r="G50" s="185">
        <f>'App3&amp;4. Int&amp;Dep'!$G$11</f>
        <v>100.396</v>
      </c>
      <c r="H50" s="185">
        <f>'App3&amp;4. Int&amp;Dep'!$G$11</f>
        <v>100.396</v>
      </c>
      <c r="I50" s="185">
        <f>'App3&amp;4. Int&amp;Dep'!$G$11</f>
        <v>100.396</v>
      </c>
      <c r="J50" s="75"/>
    </row>
    <row r="51" spans="1:12" ht="18" customHeight="1" x14ac:dyDescent="0.25">
      <c r="A51" s="77"/>
      <c r="B51" s="228" t="s">
        <v>11</v>
      </c>
      <c r="C51" s="19" t="s">
        <v>61</v>
      </c>
      <c r="D51" s="185">
        <v>0</v>
      </c>
      <c r="E51" s="185">
        <f>D59*'App9. Data for tables'!$C$75</f>
        <v>1631.2297627083335</v>
      </c>
      <c r="F51" s="185">
        <f>E59*'App9. Data for tables'!$D$75</f>
        <v>2177.9230254270838</v>
      </c>
      <c r="G51" s="185">
        <f>F59*'App9. Data for tables'!$E$75</f>
        <v>2766.7473062817717</v>
      </c>
      <c r="H51" s="185">
        <f>G59*'App9. Data for tables'!$F$75</f>
        <v>3336.6259574291939</v>
      </c>
      <c r="I51" s="185">
        <v>0</v>
      </c>
      <c r="J51" s="75"/>
    </row>
    <row r="52" spans="1:12" ht="18" customHeight="1" x14ac:dyDescent="0.25">
      <c r="A52" s="77"/>
      <c r="B52" s="19" t="s">
        <v>420</v>
      </c>
      <c r="C52" s="19" t="s">
        <v>15</v>
      </c>
      <c r="D52" s="185">
        <f>'App5. Estab Costs'!$F$32</f>
        <v>750</v>
      </c>
      <c r="E52" s="185">
        <f>'App5. Estab Costs'!$F$48</f>
        <v>750</v>
      </c>
      <c r="F52" s="185">
        <f>'App5. Estab Costs'!$F$67</f>
        <v>750</v>
      </c>
      <c r="G52" s="185">
        <f>'App5. Estab Costs'!$F$89</f>
        <v>750</v>
      </c>
      <c r="H52" s="185">
        <f>'App5. Estab Costs'!$F$111</f>
        <v>750</v>
      </c>
      <c r="I52" s="185">
        <f>'App6. Full Prod Costs'!$E$21</f>
        <v>750</v>
      </c>
      <c r="J52" s="75"/>
    </row>
    <row r="53" spans="1:12" ht="18" customHeight="1" x14ac:dyDescent="0.25">
      <c r="A53" s="77"/>
      <c r="B53" s="19" t="s">
        <v>420</v>
      </c>
      <c r="C53" s="19" t="s">
        <v>386</v>
      </c>
      <c r="D53" s="185">
        <v>0</v>
      </c>
      <c r="E53" s="185">
        <v>0</v>
      </c>
      <c r="F53" s="185">
        <v>0</v>
      </c>
      <c r="G53" s="185">
        <v>0</v>
      </c>
      <c r="H53" s="185">
        <v>0</v>
      </c>
      <c r="I53" s="185">
        <f>-'App8. Amort Calc'!C8</f>
        <v>7578.7876906269075</v>
      </c>
      <c r="J53" s="75"/>
    </row>
    <row r="54" spans="1:12" ht="46.2" customHeight="1" x14ac:dyDescent="0.25">
      <c r="A54" s="77"/>
      <c r="B54" s="230" t="s">
        <v>421</v>
      </c>
      <c r="C54" s="240" t="s">
        <v>316</v>
      </c>
      <c r="D54" s="238">
        <f t="shared" ref="D54:I54" si="6">SUM(D36:D53)</f>
        <v>3840.0906666666669</v>
      </c>
      <c r="E54" s="238">
        <f t="shared" si="6"/>
        <v>5471.3204293750005</v>
      </c>
      <c r="F54" s="238">
        <f t="shared" si="6"/>
        <v>6018.0136920937512</v>
      </c>
      <c r="G54" s="238">
        <f t="shared" si="6"/>
        <v>6606.8379729484386</v>
      </c>
      <c r="H54" s="238">
        <f t="shared" si="6"/>
        <v>7176.7166240958613</v>
      </c>
      <c r="I54" s="238">
        <f t="shared" si="6"/>
        <v>11418.878357293575</v>
      </c>
      <c r="J54" s="75"/>
    </row>
    <row r="55" spans="1:12" ht="36" customHeight="1" x14ac:dyDescent="0.25">
      <c r="A55" s="77"/>
      <c r="B55" s="229" t="s">
        <v>414</v>
      </c>
      <c r="C55" s="240" t="s">
        <v>318</v>
      </c>
      <c r="D55" s="242">
        <f t="shared" ref="D55:I55" si="7">D7-SUM(D34,D36:D42)</f>
        <v>-30125.299254166668</v>
      </c>
      <c r="E55" s="242">
        <f t="shared" si="7"/>
        <v>-6803.3394916666666</v>
      </c>
      <c r="F55" s="242">
        <f t="shared" si="7"/>
        <v>-7099.2665916666701</v>
      </c>
      <c r="G55" s="242">
        <f t="shared" si="7"/>
        <v>-6131.5297166666714</v>
      </c>
      <c r="H55" s="242">
        <f t="shared" si="7"/>
        <v>-6096.7834666666749</v>
      </c>
      <c r="I55" s="242">
        <f t="shared" si="7"/>
        <v>-5557.7433916666705</v>
      </c>
      <c r="J55" s="75"/>
    </row>
    <row r="56" spans="1:12" ht="36" customHeight="1" x14ac:dyDescent="0.25">
      <c r="A56" s="77"/>
      <c r="B56" s="230" t="s">
        <v>422</v>
      </c>
      <c r="C56" s="240" t="s">
        <v>16</v>
      </c>
      <c r="D56" s="238">
        <f t="shared" ref="D56:I56" si="8">D33+D54</f>
        <v>4830.0906666666669</v>
      </c>
      <c r="E56" s="238">
        <f t="shared" si="8"/>
        <v>6461.3204293750005</v>
      </c>
      <c r="F56" s="238">
        <f t="shared" si="8"/>
        <v>7008.0136920937512</v>
      </c>
      <c r="G56" s="238">
        <f t="shared" si="8"/>
        <v>7596.8379729484386</v>
      </c>
      <c r="H56" s="238">
        <f t="shared" si="8"/>
        <v>8166.7166240958613</v>
      </c>
      <c r="I56" s="238">
        <f t="shared" si="8"/>
        <v>12408.878357293575</v>
      </c>
      <c r="J56" s="75"/>
    </row>
    <row r="57" spans="1:12" ht="36" customHeight="1" x14ac:dyDescent="0.25">
      <c r="A57" s="77"/>
      <c r="B57" s="229" t="s">
        <v>423</v>
      </c>
      <c r="C57" s="237" t="s">
        <v>424</v>
      </c>
      <c r="D57" s="238">
        <f t="shared" ref="D57:I57" si="9">D28+D56</f>
        <v>32624.595254166667</v>
      </c>
      <c r="E57" s="238">
        <f t="shared" si="9"/>
        <v>10933.865254374999</v>
      </c>
      <c r="F57" s="238">
        <f t="shared" si="9"/>
        <v>27428.485617093753</v>
      </c>
      <c r="G57" s="238">
        <f t="shared" si="9"/>
        <v>33965.57302294844</v>
      </c>
      <c r="H57" s="238">
        <f t="shared" si="9"/>
        <v>41416.705424095868</v>
      </c>
      <c r="I57" s="238">
        <f t="shared" si="9"/>
        <v>51671.827082293574</v>
      </c>
      <c r="J57" s="75"/>
    </row>
    <row r="58" spans="1:12" ht="36" customHeight="1" x14ac:dyDescent="0.25">
      <c r="A58" s="77"/>
      <c r="B58" s="230" t="s">
        <v>425</v>
      </c>
      <c r="C58" s="237" t="s">
        <v>17</v>
      </c>
      <c r="D58" s="241">
        <f t="shared" ref="D58:I58" si="10">D7-D57</f>
        <v>-32624.595254166667</v>
      </c>
      <c r="E58" s="241">
        <f t="shared" si="10"/>
        <v>-10933.865254374999</v>
      </c>
      <c r="F58" s="241">
        <f t="shared" si="10"/>
        <v>-11776.485617093753</v>
      </c>
      <c r="G58" s="241">
        <f t="shared" si="10"/>
        <v>-11397.57302294844</v>
      </c>
      <c r="H58" s="241">
        <f t="shared" si="10"/>
        <v>-11932.705424095868</v>
      </c>
      <c r="I58" s="241">
        <f t="shared" si="10"/>
        <v>-15635.827082293574</v>
      </c>
      <c r="J58" s="75"/>
      <c r="L58" s="93"/>
    </row>
    <row r="59" spans="1:12" ht="36" customHeight="1" x14ac:dyDescent="0.25">
      <c r="A59" s="77"/>
      <c r="B59" s="232" t="s">
        <v>426</v>
      </c>
      <c r="C59" s="233" t="s">
        <v>19</v>
      </c>
      <c r="D59" s="236">
        <f>D57-D7</f>
        <v>32624.595254166667</v>
      </c>
      <c r="E59" s="236">
        <f>SUM(D57:E57)-SUM(D7:E7)</f>
        <v>43558.46050854167</v>
      </c>
      <c r="F59" s="236">
        <f>SUM(D57:F57)-SUM(D7:F7)</f>
        <v>55334.946125635426</v>
      </c>
      <c r="G59" s="236">
        <f>SUM(D57:G57)-SUM(D7:G7)</f>
        <v>66732.519148583873</v>
      </c>
      <c r="H59" s="236">
        <f>SUM(D57:H57)-SUM(D7:H7)</f>
        <v>78665.224572679726</v>
      </c>
      <c r="I59" s="236"/>
      <c r="J59" s="75"/>
    </row>
    <row r="60" spans="1:12" x14ac:dyDescent="0.3">
      <c r="A60" s="77"/>
      <c r="B60" s="58" t="s">
        <v>118</v>
      </c>
      <c r="C60" s="76"/>
      <c r="D60" s="76"/>
      <c r="E60" s="76"/>
      <c r="F60" s="76"/>
      <c r="G60" s="76"/>
      <c r="H60" s="74"/>
      <c r="I60" s="75"/>
    </row>
    <row r="61" spans="1:12" s="78" customFormat="1" ht="18" customHeight="1" x14ac:dyDescent="0.3">
      <c r="B61" s="58" t="s">
        <v>387</v>
      </c>
      <c r="C61" s="76"/>
      <c r="D61" s="76"/>
      <c r="E61" s="76"/>
      <c r="F61" s="76"/>
      <c r="G61" s="76"/>
      <c r="H61" s="74"/>
      <c r="I61" s="75"/>
    </row>
    <row r="62" spans="1:12" s="78" customFormat="1" ht="36" customHeight="1" x14ac:dyDescent="0.3">
      <c r="B62" s="319" t="s">
        <v>388</v>
      </c>
      <c r="C62" s="319"/>
      <c r="D62" s="319"/>
      <c r="E62" s="319"/>
      <c r="F62" s="319"/>
      <c r="G62" s="319"/>
      <c r="H62" s="319"/>
      <c r="I62" s="319"/>
    </row>
    <row r="63" spans="1:12" ht="18" customHeight="1" x14ac:dyDescent="0.3">
      <c r="B63" s="58" t="s">
        <v>389</v>
      </c>
      <c r="C63" s="75"/>
      <c r="D63" s="75"/>
      <c r="E63" s="75"/>
      <c r="F63" s="75"/>
      <c r="G63" s="75"/>
      <c r="H63" s="75"/>
      <c r="I63" s="75"/>
    </row>
    <row r="64" spans="1:12" ht="18" customHeight="1" x14ac:dyDescent="0.3">
      <c r="B64" s="58" t="s">
        <v>402</v>
      </c>
      <c r="C64" s="75"/>
      <c r="D64" s="75"/>
      <c r="E64" s="75"/>
      <c r="F64" s="75"/>
      <c r="G64" s="75"/>
      <c r="H64" s="75"/>
      <c r="I64" s="75"/>
    </row>
    <row r="65" spans="2:9" ht="18" customHeight="1" x14ac:dyDescent="0.3">
      <c r="B65" s="58" t="s">
        <v>390</v>
      </c>
      <c r="C65" s="75"/>
      <c r="D65" s="75"/>
      <c r="E65" s="75"/>
      <c r="F65" s="75"/>
      <c r="G65" s="75"/>
      <c r="H65" s="75"/>
      <c r="I65" s="75"/>
    </row>
    <row r="66" spans="2:9" ht="36" customHeight="1" x14ac:dyDescent="0.3">
      <c r="B66" s="319" t="s">
        <v>391</v>
      </c>
      <c r="C66" s="319"/>
      <c r="D66" s="319"/>
      <c r="E66" s="319"/>
      <c r="F66" s="319"/>
      <c r="G66" s="319"/>
      <c r="H66" s="319"/>
      <c r="I66" s="319"/>
    </row>
    <row r="67" spans="2:9" ht="18" customHeight="1" x14ac:dyDescent="0.3">
      <c r="B67" s="58" t="s">
        <v>403</v>
      </c>
      <c r="C67" s="75"/>
      <c r="D67" s="75"/>
      <c r="E67" s="75"/>
      <c r="F67" s="75"/>
      <c r="G67" s="75"/>
      <c r="H67" s="75"/>
      <c r="I67" s="75"/>
    </row>
    <row r="68" spans="2:9" ht="18" customHeight="1" x14ac:dyDescent="0.3">
      <c r="B68" s="58" t="s">
        <v>392</v>
      </c>
      <c r="C68" s="75"/>
      <c r="D68" s="75"/>
      <c r="E68" s="75"/>
      <c r="F68" s="75"/>
      <c r="G68" s="75"/>
      <c r="H68" s="75"/>
      <c r="I68" s="75"/>
    </row>
    <row r="69" spans="2:9" ht="36" customHeight="1" x14ac:dyDescent="0.3">
      <c r="B69" s="319" t="s">
        <v>393</v>
      </c>
      <c r="C69" s="319"/>
      <c r="D69" s="319"/>
      <c r="E69" s="319"/>
      <c r="F69" s="319"/>
      <c r="G69" s="319"/>
      <c r="H69" s="319"/>
      <c r="I69" s="319"/>
    </row>
    <row r="70" spans="2:9" ht="18" customHeight="1" x14ac:dyDescent="0.3">
      <c r="B70" s="58" t="s">
        <v>394</v>
      </c>
    </row>
    <row r="71" spans="2:9" ht="36" customHeight="1" x14ac:dyDescent="0.3">
      <c r="B71" s="319" t="s">
        <v>395</v>
      </c>
      <c r="C71" s="319"/>
      <c r="D71" s="319"/>
      <c r="E71" s="319"/>
      <c r="F71" s="319"/>
      <c r="G71" s="319"/>
      <c r="H71" s="319"/>
      <c r="I71" s="319"/>
    </row>
    <row r="72" spans="2:9" ht="18" customHeight="1" x14ac:dyDescent="0.3">
      <c r="B72" s="58" t="s">
        <v>396</v>
      </c>
      <c r="C72" s="204"/>
      <c r="D72" s="204"/>
      <c r="E72" s="204"/>
      <c r="F72" s="204"/>
      <c r="G72" s="204"/>
      <c r="H72" s="204"/>
      <c r="I72" s="204"/>
    </row>
    <row r="73" spans="2:9" ht="18" customHeight="1" x14ac:dyDescent="0.3">
      <c r="B73" s="58" t="s">
        <v>397</v>
      </c>
      <c r="C73" s="78"/>
      <c r="D73" s="78"/>
      <c r="E73" s="78"/>
      <c r="F73" s="78"/>
      <c r="G73" s="78"/>
      <c r="H73" s="78"/>
      <c r="I73" s="78"/>
    </row>
    <row r="74" spans="2:9" ht="36" customHeight="1" x14ac:dyDescent="0.3">
      <c r="B74" s="317" t="s">
        <v>398</v>
      </c>
      <c r="C74" s="317"/>
      <c r="D74" s="317"/>
      <c r="E74" s="317"/>
      <c r="F74" s="317"/>
      <c r="G74" s="317"/>
      <c r="H74" s="317"/>
      <c r="I74" s="317"/>
    </row>
  </sheetData>
  <protectedRanges>
    <protectedRange sqref="D4:I5" name="Est Production and Price"/>
  </protectedRanges>
  <mergeCells count="6">
    <mergeCell ref="B74:I74"/>
    <mergeCell ref="B2:I2"/>
    <mergeCell ref="B62:I62"/>
    <mergeCell ref="B66:I66"/>
    <mergeCell ref="B69:I69"/>
    <mergeCell ref="B71:I71"/>
  </mergeCells>
  <phoneticPr fontId="18" type="noConversion"/>
  <printOptions gridLines="1"/>
  <pageMargins left="0.25" right="0.25" top="0.25" bottom="0.25" header="0.3" footer="0.3"/>
  <pageSetup scale="64" orientation="portrait" r:id="rId1"/>
  <ignoredErrors>
    <ignoredError sqref="D40:H40 I40" formula="1"/>
    <ignoredError sqref="G4:H4 I4 F4 F5:I5 D5:E5"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9"/>
  <sheetViews>
    <sheetView workbookViewId="0">
      <selection activeCell="B2" sqref="B2:I2"/>
    </sheetView>
  </sheetViews>
  <sheetFormatPr defaultColWidth="9.109375" defaultRowHeight="13.8" x14ac:dyDescent="0.25"/>
  <cols>
    <col min="1" max="1" width="6.6640625" style="13" customWidth="1"/>
    <col min="2" max="2" width="15.5546875" style="13" customWidth="1"/>
    <col min="3" max="3" width="12.5546875" style="13" customWidth="1"/>
    <col min="4" max="4" width="20.44140625" style="13" customWidth="1"/>
    <col min="5" max="9" width="15.6640625" style="13" customWidth="1"/>
    <col min="10" max="10" width="9.109375" style="13"/>
    <col min="11" max="11" width="12.44140625" style="13" bestFit="1" customWidth="1"/>
    <col min="12" max="16384" width="9.109375" style="13"/>
  </cols>
  <sheetData>
    <row r="2" spans="1:17" ht="44.25" customHeight="1" x14ac:dyDescent="0.3">
      <c r="B2" s="320" t="s">
        <v>491</v>
      </c>
      <c r="C2" s="318"/>
      <c r="D2" s="320"/>
      <c r="E2" s="320"/>
      <c r="F2" s="320"/>
      <c r="G2" s="320"/>
      <c r="H2" s="318"/>
      <c r="I2" s="320"/>
      <c r="J2" s="40"/>
      <c r="K2" s="41"/>
    </row>
    <row r="3" spans="1:17" ht="36.75" customHeight="1" x14ac:dyDescent="0.25">
      <c r="B3" s="243" t="s">
        <v>260</v>
      </c>
      <c r="C3" s="243" t="s">
        <v>164</v>
      </c>
      <c r="D3" s="244" t="s">
        <v>427</v>
      </c>
      <c r="E3" s="244" t="s">
        <v>428</v>
      </c>
      <c r="F3" s="244" t="s">
        <v>429</v>
      </c>
      <c r="G3" s="244" t="s">
        <v>430</v>
      </c>
      <c r="H3" s="244" t="s">
        <v>431</v>
      </c>
      <c r="I3" s="244" t="s">
        <v>432</v>
      </c>
    </row>
    <row r="4" spans="1:17" ht="18" customHeight="1" x14ac:dyDescent="0.3">
      <c r="A4" s="42"/>
      <c r="B4" s="200">
        <v>74</v>
      </c>
      <c r="C4" s="213">
        <f>B4*$E$25</f>
        <v>59.2</v>
      </c>
      <c r="D4" s="208">
        <f>$C4*C$15-((SUM('Granny Smith-Angled V Budget'!$I$10:$I$19,'App9. Data for tables'!$H$59*$B4,'App9. Data for tables'!$H$60*$B4,'App9. Data for tables'!$H$61*$B4,'App9. Data for tables'!$H$67*$B4,'Granny Smith-Angled V Budget'!$I$24:$I$25))*((1+$C$21)*(1+0.75*$C$22)))-'Granny Smith-Angled V Budget'!$I$56</f>
        <v>-22481.936457293581</v>
      </c>
      <c r="E4" s="208">
        <f>$C4*C$16-((SUM('Granny Smith-Angled V Budget'!$I$10:$I$19,'App9. Data for tables'!$H$59*$B4,'App9. Data for tables'!$H$60*$B4,'App9. Data for tables'!$H$61*$B4,'App9. Data for tables'!$H$67*$B4,'Granny Smith-Angled V Budget'!$I$24:$I$25))*((1+$C$21)*(1+0.75*$C$22)))-'Granny Smith-Angled V Budget'!$I$56</f>
        <v>-18337.936457293581</v>
      </c>
      <c r="F4" s="208">
        <f>$C4*C$17-((SUM('Granny Smith-Angled V Budget'!$I$10:$I$19,'App9. Data for tables'!$H$59*$B4,'App9. Data for tables'!$H$60*$B4,'App9. Data for tables'!$H$61*$B4,'App9. Data for tables'!$H$67*$B4,'Granny Smith-Angled V Budget'!$I$24:$I$25))*((1+$C$21)*(1+0.75*$C$22)))-'Granny Smith-Angled V Budget'!$I$56</f>
        <v>-16265.936457293581</v>
      </c>
      <c r="G4" s="208">
        <f>$C4*C$18-((SUM('Granny Smith-Angled V Budget'!$I$10:$I$19,'App9. Data for tables'!$H$59*$B4,'App9. Data for tables'!$H$60*$B4,'App9. Data for tables'!$H$61*$B4,'App9. Data for tables'!$H$67*$B4,'Granny Smith-Angled V Budget'!$I$24:$I$25))*((1+$C$21)*(1+0.75*$C$22)))-'Granny Smith-Angled V Budget'!$I$56</f>
        <v>-7977.936457293581</v>
      </c>
      <c r="H4" s="208">
        <f>$C4*C$19-((SUM('Granny Smith-Angled V Budget'!$I$10:$I$19,'App9. Data for tables'!$H$59*$B4,'App9. Data for tables'!$H$60*$B4,'App9. Data for tables'!$H$61*$B4,'App9. Data for tables'!$H$67*$B4,'Granny Smith-Angled V Budget'!$I$24:$I$25))*((1+$C$21)*(1+0.75*$C$22)))-'Granny Smith-Angled V Budget'!$I$56</f>
        <v>-2057.936457293581</v>
      </c>
      <c r="I4" s="209">
        <f>$C4*C$20-((SUM('Granny Smith-Angled V Budget'!$I$10:$I$19,'App9. Data for tables'!$H$59*$B4,'App9. Data for tables'!$H$60*$B4,'App9. Data for tables'!$H$61*$B4,'App9. Data for tables'!$H$67*$B4,'Granny Smith-Angled V Budget'!$I$24:$I$25))*((1+$C$21)*(1+0.75*$C$22)))-'Granny Smith-Angled V Budget'!$I$56</f>
        <v>3862.063542706419</v>
      </c>
      <c r="K4" s="79"/>
      <c r="L4" s="79"/>
      <c r="M4" s="79"/>
      <c r="N4" s="79"/>
      <c r="O4" s="79"/>
      <c r="P4" s="79"/>
      <c r="Q4" s="73"/>
    </row>
    <row r="5" spans="1:17" ht="18" customHeight="1" x14ac:dyDescent="0.25">
      <c r="B5" s="200">
        <v>79</v>
      </c>
      <c r="C5" s="213">
        <f>B5*$E$25</f>
        <v>63.2</v>
      </c>
      <c r="D5" s="208">
        <f>$C5*C$15-((SUM('Granny Smith-Angled V Budget'!$I$10:$I$19,'App9. Data for tables'!$H$59*$B5,'App9. Data for tables'!$H$60*$B5,'App9. Data for tables'!$H$61*$B5,'App9. Data for tables'!$H$67*$B5,'Granny Smith-Angled V Budget'!$I$24:$I$25))*((1+$C$21)*(1+0.75*$C$22)))-'Granny Smith-Angled V Budget'!$I$56</f>
        <v>-22775.914582293582</v>
      </c>
      <c r="E5" s="208">
        <f>$C5*C$16-((SUM('Granny Smith-Angled V Budget'!$I$10:$I$19,'App9. Data for tables'!$H$59*$B5,'App9. Data for tables'!$H$60*$B5,'App9. Data for tables'!$H$61*$B5,'App9. Data for tables'!$H$67*$B5,'Granny Smith-Angled V Budget'!$I$24:$I$25))*((1+$C$21)*(1+0.75*$C$22)))-'Granny Smith-Angled V Budget'!$I$56</f>
        <v>-18351.914582293582</v>
      </c>
      <c r="F5" s="208">
        <f>$C5*C$17-((SUM('Granny Smith-Angled V Budget'!$I$10:$I$19,'App9. Data for tables'!$H$59*$B5,'App9. Data for tables'!$H$60*$B5,'App9. Data for tables'!$H$61*$B5,'App9. Data for tables'!$H$67*$B5,'Granny Smith-Angled V Budget'!$I$24:$I$25))*((1+$C$21)*(1+0.75*$C$22)))-'Granny Smith-Angled V Budget'!$I$56</f>
        <v>-16139.914582293582</v>
      </c>
      <c r="G5" s="208">
        <f>$C5*C$18-((SUM('Granny Smith-Angled V Budget'!$I$10:$I$19,'App9. Data for tables'!$H$59*$B5,'App9. Data for tables'!$H$60*$B5,'App9. Data for tables'!$H$61*$B5,'App9. Data for tables'!$H$67*$B5,'Granny Smith-Angled V Budget'!$I$24:$I$25))*((1+$C$21)*(1+0.75*$C$22)))-'Granny Smith-Angled V Budget'!$I$56</f>
        <v>-7291.9145822935825</v>
      </c>
      <c r="H5" s="208">
        <f>$C5*C$19-((SUM('Granny Smith-Angled V Budget'!$I$10:$I$19,'App9. Data for tables'!$H$59*$B5,'App9. Data for tables'!$H$60*$B5,'App9. Data for tables'!$H$61*$B5,'App9. Data for tables'!$H$67*$B5,'Granny Smith-Angled V Budget'!$I$24:$I$25))*((1+$C$21)*(1+0.75*$C$22)))-'Granny Smith-Angled V Budget'!$I$56</f>
        <v>-971.9145822935825</v>
      </c>
      <c r="I5" s="209">
        <f>$C5*C$20-((SUM('Granny Smith-Angled V Budget'!$I$10:$I$19,'App9. Data for tables'!$H$59*$B5,'App9. Data for tables'!$H$60*$B5,'App9. Data for tables'!$H$61*$B5,'App9. Data for tables'!$H$67*$B5,'Granny Smith-Angled V Budget'!$I$24:$I$25))*((1+$C$21)*(1+0.75*$C$22)))-'Granny Smith-Angled V Budget'!$I$56</f>
        <v>5348.0854177064175</v>
      </c>
      <c r="K5" s="43"/>
    </row>
    <row r="6" spans="1:17" ht="18" customHeight="1" x14ac:dyDescent="0.25">
      <c r="B6" s="200">
        <v>84</v>
      </c>
      <c r="C6" s="213">
        <f t="shared" ref="C6:C7" si="0">B6*$E$25</f>
        <v>67.2</v>
      </c>
      <c r="D6" s="208">
        <f>$C6*C$15-((SUM('Granny Smith-Angled V Budget'!$I$10:$I$19,'App9. Data for tables'!$H$59*$B6,'App9. Data for tables'!$H$60*$B6,'App9. Data for tables'!$H$61*$B6,'App9. Data for tables'!$H$67*$B6,'Granny Smith-Angled V Budget'!$I$24:$I$25))*((1+$C$21)*(1+0.75*$C$22)))-'Granny Smith-Angled V Budget'!$I$56</f>
        <v>-23069.89270729358</v>
      </c>
      <c r="E6" s="208">
        <f>$C6*C$16-((SUM('Granny Smith-Angled V Budget'!$I$10:$I$19,'App9. Data for tables'!$H$59*$B6,'App9. Data for tables'!$H$60*$B6,'App9. Data for tables'!$H$61*$B6,'App9. Data for tables'!$H$67*$B6,'Granny Smith-Angled V Budget'!$I$24:$I$25))*((1+$C$21)*(1+0.75*$C$22)))-'Granny Smith-Angled V Budget'!$I$56</f>
        <v>-18365.89270729358</v>
      </c>
      <c r="F6" s="208">
        <f>$C6*C$17-((SUM('Granny Smith-Angled V Budget'!$I$10:$I$19,'App9. Data for tables'!$H$59*$B6,'App9. Data for tables'!$H$60*$B6,'App9. Data for tables'!$H$61*$B6,'App9. Data for tables'!$H$67*$B6,'Granny Smith-Angled V Budget'!$I$24:$I$25))*((1+$C$21)*(1+0.75*$C$22)))-'Granny Smith-Angled V Budget'!$I$56</f>
        <v>-16013.89270729358</v>
      </c>
      <c r="G6" s="208">
        <f>$C6*C$18-((SUM('Granny Smith-Angled V Budget'!$I$10:$I$19,'App9. Data for tables'!$H$59*$B6,'App9. Data for tables'!$H$60*$B6,'App9. Data for tables'!$H$61*$B6,'App9. Data for tables'!$H$67*$B6,'Granny Smith-Angled V Budget'!$I$24:$I$25))*((1+$C$21)*(1+0.75*$C$22)))-'Granny Smith-Angled V Budget'!$I$56</f>
        <v>-6605.8927072935803</v>
      </c>
      <c r="H6" s="209">
        <f>$C6*C$19-((SUM('Granny Smith-Angled V Budget'!$I$10:$I$19,'App9. Data for tables'!$H$59*$B6,'App9. Data for tables'!$H$60*$B6,'App9. Data for tables'!$H$61*$B6,'App9. Data for tables'!$H$67*$B6,'Granny Smith-Angled V Budget'!$I$24:$I$25))*((1+$C$21)*(1+0.75*$C$22)))-'Granny Smith-Angled V Budget'!$I$56</f>
        <v>114.10729270641968</v>
      </c>
      <c r="I6" s="209">
        <f>$C6*C$20-((SUM('Granny Smith-Angled V Budget'!$I$10:$I$19,'App9. Data for tables'!$H$59*$B6,'App9. Data for tables'!$H$60*$B6,'App9. Data for tables'!$H$61*$B6,'App9. Data for tables'!$H$67*$B6,'Granny Smith-Angled V Budget'!$I$24:$I$25))*((1+$C$21)*(1+0.75*$C$22)))-'Granny Smith-Angled V Budget'!$I$56</f>
        <v>6834.1072927064197</v>
      </c>
      <c r="K6" s="43"/>
    </row>
    <row r="7" spans="1:17" ht="18" customHeight="1" x14ac:dyDescent="0.25">
      <c r="B7" s="200">
        <v>89</v>
      </c>
      <c r="C7" s="213">
        <f t="shared" si="0"/>
        <v>71.2</v>
      </c>
      <c r="D7" s="208">
        <f>$C7*C$15-((SUM('Granny Smith-Angled V Budget'!$I$10:$I$19,'App9. Data for tables'!$H$59*$B7,'App9. Data for tables'!$H$60*$B7,'App9. Data for tables'!$H$61*$B7,'App9. Data for tables'!$H$67*$B7,'Granny Smith-Angled V Budget'!$I$24:$I$25))*((1+$C$21)*(1+0.75*$C$22)))-'Granny Smith-Angled V Budget'!$I$56</f>
        <v>-23363.870832293582</v>
      </c>
      <c r="E7" s="208">
        <f>$C7*C$16-((SUM('Granny Smith-Angled V Budget'!$I$10:$I$19,'App9. Data for tables'!$H$59*$B7,'App9. Data for tables'!$H$60*$B7,'App9. Data for tables'!$H$61*$B7,'App9. Data for tables'!$H$67*$B7,'Granny Smith-Angled V Budget'!$I$24:$I$25))*((1+$C$21)*(1+0.75*$C$22)))-'Granny Smith-Angled V Budget'!$I$56</f>
        <v>-18379.870832293582</v>
      </c>
      <c r="F7" s="208">
        <f>$C7*C$17-((SUM('Granny Smith-Angled V Budget'!$I$10:$I$19,'App9. Data for tables'!$H$59*$B7,'App9. Data for tables'!$H$60*$B7,'App9. Data for tables'!$H$61*$B7,'App9. Data for tables'!$H$67*$B7,'Granny Smith-Angled V Budget'!$I$24:$I$25))*((1+$C$21)*(1+0.75*$C$22)))-'Granny Smith-Angled V Budget'!$I$56</f>
        <v>-15887.870832293582</v>
      </c>
      <c r="G7" s="208">
        <f>$C7*C$18-((SUM('Granny Smith-Angled V Budget'!$I$10:$I$19,'App9. Data for tables'!$H$59*$B7,'App9. Data for tables'!$H$60*$B7,'App9. Data for tables'!$H$61*$B7,'App9. Data for tables'!$H$67*$B7,'Granny Smith-Angled V Budget'!$I$24:$I$25))*((1+$C$21)*(1+0.75*$C$22)))-'Granny Smith-Angled V Budget'!$I$56</f>
        <v>-5919.8708322935818</v>
      </c>
      <c r="H7" s="209">
        <f>$C7*C$19-((SUM('Granny Smith-Angled V Budget'!$I$10:$I$19,'App9. Data for tables'!$H$59*$B7,'App9. Data for tables'!$H$60*$B7,'App9. Data for tables'!$H$61*$B7,'App9. Data for tables'!$H$67*$B7,'Granny Smith-Angled V Budget'!$I$24:$I$25))*((1+$C$21)*(1+0.75*$C$22)))-'Granny Smith-Angled V Budget'!$I$56</f>
        <v>1200.1291677064182</v>
      </c>
      <c r="I7" s="209">
        <f>$C7*C$20-((SUM('Granny Smith-Angled V Budget'!$I$10:$I$19,'App9. Data for tables'!$H$59*$B7,'App9. Data for tables'!$H$60*$B7,'App9. Data for tables'!$H$61*$B7,'App9. Data for tables'!$H$67*$B7,'Granny Smith-Angled V Budget'!$I$24:$I$25))*((1+$C$21)*(1+0.75*$C$22)))-'Granny Smith-Angled V Budget'!$I$56</f>
        <v>8320.1291677064182</v>
      </c>
      <c r="K7" s="43"/>
    </row>
    <row r="8" spans="1:17" ht="18" customHeight="1" x14ac:dyDescent="0.25">
      <c r="B8" s="200">
        <v>94</v>
      </c>
      <c r="C8" s="213">
        <f>B8*$E$25</f>
        <v>75.2</v>
      </c>
      <c r="D8" s="208">
        <f>$C8*C$15-((SUM('Granny Smith-Angled V Budget'!$I$10:$I$19,'App9. Data for tables'!$H$59*$B8,'App9. Data for tables'!$H$60*$B8,'App9. Data for tables'!$H$61*$B8,'App9. Data for tables'!$H$67*$B8,'Granny Smith-Angled V Budget'!$I$24:$I$25))*((1+$C$21)*(1+0.75*$C$22)))-'Granny Smith-Angled V Budget'!$I$56</f>
        <v>-23657.848957293583</v>
      </c>
      <c r="E8" s="208">
        <f>$C8*C$16-((SUM('Granny Smith-Angled V Budget'!$I$10:$I$19,'App9. Data for tables'!$H$59*$B8,'App9. Data for tables'!$H$60*$B8,'App9. Data for tables'!$H$61*$B8,'App9. Data for tables'!$H$67*$B8,'Granny Smith-Angled V Budget'!$I$24:$I$25))*((1+$C$21)*(1+0.75*$C$22)))-'Granny Smith-Angled V Budget'!$I$56</f>
        <v>-18393.848957293583</v>
      </c>
      <c r="F8" s="208">
        <f>$C8*C$17-((SUM('Granny Smith-Angled V Budget'!$I$10:$I$19,'App9. Data for tables'!$H$59*$B8,'App9. Data for tables'!$H$60*$B8,'App9. Data for tables'!$H$61*$B8,'App9. Data for tables'!$H$67*$B8,'Granny Smith-Angled V Budget'!$I$24:$I$25))*((1+$C$21)*(1+0.75*$C$22)))-'Granny Smith-Angled V Budget'!$I$56</f>
        <v>-15761.848957293583</v>
      </c>
      <c r="G8" s="208">
        <f>$C8*C$18-((SUM('Granny Smith-Angled V Budget'!$I$10:$I$19,'App9. Data for tables'!$H$59*$B8,'App9. Data for tables'!$H$60*$B8,'App9. Data for tables'!$H$61*$B8,'App9. Data for tables'!$H$67*$B8,'Granny Smith-Angled V Budget'!$I$24:$I$25))*((1+$C$21)*(1+0.75*$C$22)))-'Granny Smith-Angled V Budget'!$I$56</f>
        <v>-5233.8489572935832</v>
      </c>
      <c r="H8" s="209">
        <f>$C8*C$19-((SUM('Granny Smith-Angled V Budget'!$I$10:$I$19,'App9. Data for tables'!$H$59*$B8,'App9. Data for tables'!$H$60*$B8,'App9. Data for tables'!$H$61*$B8,'App9. Data for tables'!$H$67*$B8,'Granny Smith-Angled V Budget'!$I$24:$I$25))*((1+$C$21)*(1+0.75*$C$22)))-'Granny Smith-Angled V Budget'!$I$56</f>
        <v>2286.1510427064168</v>
      </c>
      <c r="I8" s="209">
        <f>$C8*C$20-((SUM('Granny Smith-Angled V Budget'!$I$10:$I$19,'App9. Data for tables'!$H$59*$B8,'App9. Data for tables'!$H$60*$B8,'App9. Data for tables'!$H$61*$B8,'App9. Data for tables'!$H$67*$B8,'Granny Smith-Angled V Budget'!$I$24:$I$25))*((1+$C$21)*(1+0.75*$C$22)))-'Granny Smith-Angled V Budget'!$I$56</f>
        <v>9806.1510427064168</v>
      </c>
    </row>
    <row r="9" spans="1:17" ht="18" customHeight="1" x14ac:dyDescent="0.25">
      <c r="B9" s="200">
        <v>99</v>
      </c>
      <c r="C9" s="213">
        <f>B9*$E$25</f>
        <v>79.2</v>
      </c>
      <c r="D9" s="208">
        <f>$C9*C$15-((SUM('Granny Smith-Angled V Budget'!$I$10:$I$19,'App9. Data for tables'!$H$59*$B9,'App9. Data for tables'!$H$60*$B9,'App9. Data for tables'!$H$61*$B9,'App9. Data for tables'!$H$67*$B9,'Granny Smith-Angled V Budget'!$I$24:$I$25))*((1+$C$21)*(1+0.75*$C$22)))-'Granny Smith-Angled V Budget'!$I$56</f>
        <v>-23951.827082293585</v>
      </c>
      <c r="E9" s="208">
        <f>$C9*C$16-((SUM('Granny Smith-Angled V Budget'!$I$10:$I$19,'App9. Data for tables'!$H$59*$B9,'App9. Data for tables'!$H$60*$B9,'App9. Data for tables'!$H$61*$B9,'App9. Data for tables'!$H$67*$B9,'Granny Smith-Angled V Budget'!$I$24:$I$25))*((1+$C$21)*(1+0.75*$C$22)))-'Granny Smith-Angled V Budget'!$I$56</f>
        <v>-18407.827082293585</v>
      </c>
      <c r="F9" s="208">
        <f>$C9*C$17-((SUM('Granny Smith-Angled V Budget'!$I$10:$I$19,'App9. Data for tables'!$H$59*$B9,'App9. Data for tables'!$H$60*$B9,'App9. Data for tables'!$H$61*$B9,'App9. Data for tables'!$H$67*$B9,'Granny Smith-Angled V Budget'!$I$24:$I$25))*((1+$C$21)*(1+0.75*$C$22)))-'Granny Smith-Angled V Budget'!$I$56</f>
        <v>-15635.827082293585</v>
      </c>
      <c r="G9" s="208">
        <f>$C9*C$18-((SUM('Granny Smith-Angled V Budget'!$I$10:$I$19,'App9. Data for tables'!$H$59*$B9,'App9. Data for tables'!$H$60*$B9,'App9. Data for tables'!$H$61*$B9,'App9. Data for tables'!$H$67*$B9,'Granny Smith-Angled V Budget'!$I$24:$I$25))*((1+$C$21)*(1+0.75*$C$22)))-'Granny Smith-Angled V Budget'!$I$56</f>
        <v>-4547.8270822935847</v>
      </c>
      <c r="H9" s="209">
        <f>$C9*C$19-((SUM('Granny Smith-Angled V Budget'!$I$10:$I$19,'App9. Data for tables'!$H$59*$B9,'App9. Data for tables'!$H$60*$B9,'App9. Data for tables'!$H$61*$B9,'App9. Data for tables'!$H$67*$B9,'Granny Smith-Angled V Budget'!$I$24:$I$25))*((1+$C$21)*(1+0.75*$C$22)))-'Granny Smith-Angled V Budget'!$I$56</f>
        <v>3372.1729177064153</v>
      </c>
      <c r="I9" s="209">
        <f>$C9*C$20-((SUM('Granny Smith-Angled V Budget'!$I$10:$I$19,'App9. Data for tables'!$H$59*$B9,'App9. Data for tables'!$H$60*$B9,'App9. Data for tables'!$H$61*$B9,'App9. Data for tables'!$H$67*$B9,'Granny Smith-Angled V Budget'!$I$24:$I$25))*((1+$C$21)*(1+0.75*$C$22)))-'Granny Smith-Angled V Budget'!$I$56</f>
        <v>11292.172917706415</v>
      </c>
    </row>
    <row r="10" spans="1:17" ht="18" customHeight="1" x14ac:dyDescent="0.25">
      <c r="B10" s="201">
        <v>104</v>
      </c>
      <c r="C10" s="214">
        <f>B10*$E$25</f>
        <v>83.2</v>
      </c>
      <c r="D10" s="210">
        <f>$C10*C$15-((SUM('Granny Smith-Angled V Budget'!$I$10:$I$19,'App9. Data for tables'!$H$59*$B10,'App9. Data for tables'!$H$60*$B10,'App9. Data for tables'!$H$61*$B10,'App9. Data for tables'!$H$67*$B10,'Granny Smith-Angled V Budget'!$I$24:$I$25))*((1+$C$21)*(1+0.75*$C$22)))-'Granny Smith-Angled V Budget'!$I$56</f>
        <v>-24245.805207293586</v>
      </c>
      <c r="E10" s="210">
        <f>$C10*C$16-((SUM('Granny Smith-Angled V Budget'!$I$10:$I$19,'App9. Data for tables'!$H$59*$B10,'App9. Data for tables'!$H$60*$B10,'App9. Data for tables'!$H$61*$B10,'App9. Data for tables'!$H$67*$B10,'Granny Smith-Angled V Budget'!$I$24:$I$25))*((1+$C$21)*(1+0.75*$C$22)))-'Granny Smith-Angled V Budget'!$I$56</f>
        <v>-18421.805207293586</v>
      </c>
      <c r="F10" s="210">
        <f>$C10*C$17-((SUM('Granny Smith-Angled V Budget'!$I$10:$I$19,'App9. Data for tables'!$H$59*$B10,'App9. Data for tables'!$H$60*$B10,'App9. Data for tables'!$H$61*$B10,'App9. Data for tables'!$H$67*$B10,'Granny Smith-Angled V Budget'!$I$24:$I$25))*((1+$C$21)*(1+0.75*$C$22)))-'Granny Smith-Angled V Budget'!$I$56</f>
        <v>-15509.805207293586</v>
      </c>
      <c r="G10" s="210">
        <f>$C10*C$18-((SUM('Granny Smith-Angled V Budget'!$I$10:$I$19,'App9. Data for tables'!$H$59*$B10,'App9. Data for tables'!$H$60*$B10,'App9. Data for tables'!$H$61*$B10,'App9. Data for tables'!$H$67*$B10,'Granny Smith-Angled V Budget'!$I$24:$I$25))*((1+$C$21)*(1+0.75*$C$22)))-'Granny Smith-Angled V Budget'!$I$56</f>
        <v>-3861.8052072935861</v>
      </c>
      <c r="H10" s="211">
        <f>$C10*C$19-((SUM('Granny Smith-Angled V Budget'!$I$10:$I$19,'App9. Data for tables'!$H$59*$B10,'App9. Data for tables'!$H$60*$B10,'App9. Data for tables'!$H$61*$B10,'App9. Data for tables'!$H$67*$B10,'Granny Smith-Angled V Budget'!$I$24:$I$25))*((1+$C$21)*(1+0.75*$C$22)))-'Granny Smith-Angled V Budget'!$I$56</f>
        <v>4458.1947927064139</v>
      </c>
      <c r="I10" s="211">
        <f>$C10*C$20-((SUM('Granny Smith-Angled V Budget'!$I$10:$I$19,'App9. Data for tables'!$H$59*$B10,'App9. Data for tables'!$H$60*$B10,'App9. Data for tables'!$H$61*$B10,'App9. Data for tables'!$H$67*$B10,'Granny Smith-Angled V Budget'!$I$24:$I$25))*((1+$C$21)*(1+0.75*$C$22)))-'Granny Smith-Angled V Budget'!$I$56</f>
        <v>12778.194792706414</v>
      </c>
    </row>
    <row r="11" spans="1:17" s="61" customFormat="1" ht="18" customHeight="1" x14ac:dyDescent="0.3">
      <c r="B11" s="59" t="s">
        <v>118</v>
      </c>
      <c r="C11" s="59"/>
      <c r="D11" s="60"/>
      <c r="E11" s="62"/>
      <c r="F11" s="62"/>
      <c r="G11" s="62"/>
      <c r="H11" s="62"/>
      <c r="I11" s="63"/>
    </row>
    <row r="12" spans="1:17" s="61" customFormat="1" ht="18" customHeight="1" x14ac:dyDescent="0.3">
      <c r="B12" s="59" t="s">
        <v>355</v>
      </c>
      <c r="C12" s="59"/>
      <c r="D12" s="60"/>
      <c r="E12" s="62"/>
      <c r="F12" s="62"/>
      <c r="G12" s="62"/>
      <c r="H12" s="62"/>
      <c r="I12" s="63"/>
    </row>
    <row r="13" spans="1:17" s="61" customFormat="1" ht="18" customHeight="1" x14ac:dyDescent="0.3">
      <c r="B13" s="59" t="s">
        <v>358</v>
      </c>
      <c r="C13" s="59"/>
      <c r="D13" s="60"/>
      <c r="E13" s="62"/>
      <c r="F13" s="62"/>
      <c r="G13" s="62"/>
      <c r="H13" s="62"/>
      <c r="I13" s="63"/>
    </row>
    <row r="14" spans="1:17" s="61" customFormat="1" ht="18" customHeight="1" x14ac:dyDescent="0.3">
      <c r="B14" s="59" t="s">
        <v>433</v>
      </c>
      <c r="C14" s="59"/>
      <c r="D14" s="60"/>
      <c r="E14" s="62"/>
      <c r="F14" s="62"/>
      <c r="G14" s="62"/>
      <c r="H14" s="62"/>
      <c r="I14" s="63"/>
    </row>
    <row r="15" spans="1:17" s="61" customFormat="1" ht="18" customHeight="1" x14ac:dyDescent="0.3">
      <c r="B15" s="59" t="s">
        <v>434</v>
      </c>
      <c r="C15" s="311">
        <v>350</v>
      </c>
      <c r="D15" s="60"/>
      <c r="E15" s="62"/>
      <c r="F15" s="62"/>
      <c r="G15" s="62"/>
      <c r="H15" s="62"/>
      <c r="I15" s="63"/>
    </row>
    <row r="16" spans="1:17" s="61" customFormat="1" ht="18" customHeight="1" x14ac:dyDescent="0.3">
      <c r="B16" s="59" t="s">
        <v>435</v>
      </c>
      <c r="C16" s="311">
        <v>420</v>
      </c>
      <c r="D16" s="60"/>
      <c r="E16" s="62"/>
      <c r="F16" s="62"/>
      <c r="G16" s="62"/>
      <c r="H16" s="62"/>
      <c r="I16" s="63"/>
    </row>
    <row r="17" spans="2:11" s="61" customFormat="1" ht="18" customHeight="1" x14ac:dyDescent="0.3">
      <c r="B17" s="59" t="s">
        <v>436</v>
      </c>
      <c r="C17" s="311">
        <v>455</v>
      </c>
      <c r="D17" s="60"/>
      <c r="E17" s="62"/>
      <c r="F17" s="62"/>
      <c r="G17" s="62"/>
      <c r="H17" s="62"/>
      <c r="I17" s="63"/>
    </row>
    <row r="18" spans="2:11" s="61" customFormat="1" ht="18" customHeight="1" x14ac:dyDescent="0.3">
      <c r="B18" s="59" t="s">
        <v>437</v>
      </c>
      <c r="C18" s="311">
        <v>595</v>
      </c>
      <c r="D18" s="60"/>
      <c r="E18" s="62"/>
      <c r="F18" s="62"/>
      <c r="G18" s="62"/>
      <c r="H18" s="62"/>
      <c r="I18" s="63"/>
    </row>
    <row r="19" spans="2:11" s="61" customFormat="1" ht="18" customHeight="1" x14ac:dyDescent="0.3">
      <c r="B19" s="59" t="s">
        <v>438</v>
      </c>
      <c r="C19" s="311">
        <v>695</v>
      </c>
      <c r="D19" s="60"/>
      <c r="E19" s="62"/>
      <c r="F19" s="62"/>
      <c r="G19" s="62"/>
      <c r="H19" s="62"/>
      <c r="I19" s="63"/>
    </row>
    <row r="20" spans="2:11" s="61" customFormat="1" ht="18" customHeight="1" x14ac:dyDescent="0.3">
      <c r="B20" s="59" t="s">
        <v>439</v>
      </c>
      <c r="C20" s="311">
        <v>795</v>
      </c>
      <c r="D20" s="60"/>
      <c r="E20" s="62"/>
      <c r="F20" s="62"/>
      <c r="G20" s="62"/>
      <c r="H20" s="62"/>
      <c r="I20" s="63"/>
    </row>
    <row r="21" spans="2:11" s="61" customFormat="1" ht="18" customHeight="1" x14ac:dyDescent="0.3">
      <c r="B21" s="59" t="s">
        <v>64</v>
      </c>
      <c r="C21" s="310">
        <f>'App9. Data for tables'!$H$73</f>
        <v>0.05</v>
      </c>
      <c r="D21" s="60"/>
      <c r="E21" s="62"/>
      <c r="F21" s="62"/>
      <c r="G21" s="62"/>
      <c r="H21" s="62"/>
      <c r="I21" s="63"/>
    </row>
    <row r="22" spans="2:11" s="61" customFormat="1" ht="18" customHeight="1" x14ac:dyDescent="0.3">
      <c r="B22" s="59" t="s">
        <v>65</v>
      </c>
      <c r="C22" s="310">
        <f>'App9. Data for tables'!$H$74</f>
        <v>0.05</v>
      </c>
      <c r="D22" s="60"/>
      <c r="E22" s="62"/>
      <c r="F22" s="62"/>
      <c r="G22" s="62"/>
      <c r="H22" s="62"/>
      <c r="I22" s="63"/>
    </row>
    <row r="23" spans="2:11" s="61" customFormat="1" ht="40.950000000000003" customHeight="1" x14ac:dyDescent="0.3">
      <c r="B23" s="319" t="s">
        <v>440</v>
      </c>
      <c r="C23" s="319"/>
      <c r="D23" s="319"/>
      <c r="E23" s="319"/>
      <c r="F23" s="319"/>
      <c r="G23" s="319"/>
      <c r="H23" s="319"/>
      <c r="I23" s="319"/>
    </row>
    <row r="24" spans="2:11" s="61" customFormat="1" ht="31.2" customHeight="1" x14ac:dyDescent="0.3">
      <c r="B24" s="319" t="s">
        <v>163</v>
      </c>
      <c r="C24" s="319"/>
      <c r="D24" s="319"/>
      <c r="E24" s="319"/>
      <c r="F24" s="319"/>
      <c r="G24" s="319"/>
      <c r="H24" s="319"/>
      <c r="I24" s="319"/>
    </row>
    <row r="25" spans="2:11" s="61" customFormat="1" ht="18" customHeight="1" x14ac:dyDescent="0.3">
      <c r="B25" s="64" t="s">
        <v>343</v>
      </c>
      <c r="C25" s="64"/>
      <c r="D25" s="64"/>
      <c r="E25" s="245">
        <v>0.8</v>
      </c>
    </row>
    <row r="26" spans="2:11" ht="14.4" x14ac:dyDescent="0.3">
      <c r="B26" s="16"/>
      <c r="C26" s="16"/>
      <c r="D26" s="79"/>
      <c r="E26" s="79"/>
      <c r="F26" s="79"/>
      <c r="G26" s="79"/>
      <c r="H26" s="79"/>
      <c r="I26" s="246"/>
      <c r="K26" s="61"/>
    </row>
    <row r="27" spans="2:11" ht="14.4" x14ac:dyDescent="0.3">
      <c r="D27" s="79"/>
      <c r="E27" s="79"/>
      <c r="F27" s="79"/>
      <c r="G27" s="79"/>
      <c r="H27" s="79"/>
      <c r="I27" s="79"/>
      <c r="J27" s="79"/>
      <c r="K27" s="61"/>
    </row>
    <row r="28" spans="2:11" x14ac:dyDescent="0.25">
      <c r="D28" s="43"/>
      <c r="K28" s="61"/>
    </row>
    <row r="29" spans="2:11" x14ac:dyDescent="0.25">
      <c r="K29" s="61"/>
    </row>
  </sheetData>
  <protectedRanges>
    <protectedRange sqref="B4:C10 C15:C22 D11:D22" name="Price and Yield"/>
  </protectedRanges>
  <mergeCells count="3">
    <mergeCell ref="B23:I23"/>
    <mergeCell ref="B2:I2"/>
    <mergeCell ref="B24:I24"/>
  </mergeCells>
  <phoneticPr fontId="18" type="noConversion"/>
  <pageMargins left="0.7" right="0.7" top="0.75" bottom="0.75" header="0.3" footer="0.3"/>
  <pageSetup orientation="portrait" r:id="rId1"/>
  <ignoredErrors>
    <ignoredError sqref="C8:C10 C4:C5 C6:C7"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0"/>
  <sheetViews>
    <sheetView workbookViewId="0">
      <selection activeCell="B2" sqref="B2:F2"/>
    </sheetView>
  </sheetViews>
  <sheetFormatPr defaultColWidth="9.109375" defaultRowHeight="13.8" x14ac:dyDescent="0.3"/>
  <cols>
    <col min="1" max="1" width="9.109375" style="72"/>
    <col min="2" max="2" width="34.44140625" style="72" customWidth="1"/>
    <col min="3" max="3" width="14.33203125" style="72" customWidth="1"/>
    <col min="4" max="4" width="19.109375" style="72" customWidth="1"/>
    <col min="5" max="5" width="18.88671875" style="72" customWidth="1"/>
    <col min="6" max="6" width="8.109375" style="72" customWidth="1"/>
    <col min="7" max="16384" width="9.109375" style="72"/>
  </cols>
  <sheetData>
    <row r="2" spans="2:12" ht="40.200000000000003" customHeight="1" x14ac:dyDescent="0.3">
      <c r="B2" s="322" t="s">
        <v>492</v>
      </c>
      <c r="C2" s="322"/>
      <c r="D2" s="322"/>
      <c r="E2" s="322"/>
      <c r="F2" s="322"/>
    </row>
    <row r="3" spans="2:12" ht="36.6" customHeight="1" x14ac:dyDescent="0.3">
      <c r="B3" s="249" t="s">
        <v>445</v>
      </c>
      <c r="C3" s="202" t="s">
        <v>230</v>
      </c>
      <c r="D3" s="202" t="s">
        <v>446</v>
      </c>
      <c r="E3" s="202" t="s">
        <v>447</v>
      </c>
      <c r="F3" s="250" t="s">
        <v>122</v>
      </c>
    </row>
    <row r="4" spans="2:12" ht="19.95" customHeight="1" x14ac:dyDescent="0.3">
      <c r="B4" s="65" t="s">
        <v>441</v>
      </c>
      <c r="C4" s="94">
        <f>'Granny Smith-Angled V Budget'!$I$28</f>
        <v>39262.948725000002</v>
      </c>
      <c r="D4" s="94">
        <f>C4/$C$8</f>
        <v>495.74430208333337</v>
      </c>
      <c r="E4" s="94">
        <f>D4/$C$9</f>
        <v>28.328245833333334</v>
      </c>
      <c r="F4" s="251" t="s">
        <v>359</v>
      </c>
    </row>
    <row r="5" spans="2:12" ht="19.95" customHeight="1" x14ac:dyDescent="0.3">
      <c r="B5" s="65" t="s">
        <v>442</v>
      </c>
      <c r="C5" s="95">
        <f>'Granny Smith-Angled V Budget'!I34</f>
        <v>40252.948725000002</v>
      </c>
      <c r="D5" s="94">
        <f>C5/$C$8</f>
        <v>508.24430208333337</v>
      </c>
      <c r="E5" s="94">
        <f>D5/$C$9</f>
        <v>29.042531547619049</v>
      </c>
      <c r="F5" s="251" t="s">
        <v>231</v>
      </c>
      <c r="G5" s="71"/>
      <c r="H5" s="71"/>
      <c r="I5" s="71"/>
      <c r="J5" s="71"/>
      <c r="K5" s="71"/>
      <c r="L5" s="71"/>
    </row>
    <row r="6" spans="2:12" ht="19.95" customHeight="1" x14ac:dyDescent="0.3">
      <c r="B6" s="20" t="s">
        <v>443</v>
      </c>
      <c r="C6" s="95">
        <f>C5+SUM('Granny Smith-Angled V Budget'!I36:I42)</f>
        <v>41593.743391666671</v>
      </c>
      <c r="D6" s="94">
        <f>C6/$C$8</f>
        <v>525.17352767255898</v>
      </c>
      <c r="E6" s="94">
        <f>D6/$C$9</f>
        <v>30.009915867003372</v>
      </c>
      <c r="F6" s="251" t="s">
        <v>232</v>
      </c>
      <c r="G6" s="71"/>
      <c r="H6" s="71"/>
      <c r="I6" s="71"/>
      <c r="J6" s="71"/>
      <c r="K6" s="71"/>
      <c r="L6" s="71"/>
    </row>
    <row r="7" spans="2:12" ht="19.95" customHeight="1" x14ac:dyDescent="0.3">
      <c r="B7" s="247" t="s">
        <v>444</v>
      </c>
      <c r="C7" s="248">
        <f>C6+SUM('Granny Smith-Angled V Budget'!I43:I50,'Granny Smith-Angled V Budget'!I52:I53)</f>
        <v>51671.827082293574</v>
      </c>
      <c r="D7" s="248">
        <f>C7/$C$8</f>
        <v>652.42205911986832</v>
      </c>
      <c r="E7" s="248">
        <f>D7/$C$9</f>
        <v>37.28126052113533</v>
      </c>
      <c r="F7" s="252" t="s">
        <v>233</v>
      </c>
      <c r="G7" s="71"/>
      <c r="H7" s="71"/>
      <c r="I7" s="71"/>
      <c r="J7" s="71"/>
      <c r="K7" s="71"/>
      <c r="L7" s="71"/>
    </row>
    <row r="8" spans="2:12" x14ac:dyDescent="0.3">
      <c r="B8" s="96" t="s">
        <v>234</v>
      </c>
      <c r="C8" s="97">
        <f>'Granny Smith-Angled V Budget'!$I$4</f>
        <v>79.2</v>
      </c>
    </row>
    <row r="9" spans="2:12" x14ac:dyDescent="0.3">
      <c r="B9" s="96" t="s">
        <v>362</v>
      </c>
      <c r="C9" s="203">
        <f>'App9. Data for tables'!$H$64</f>
        <v>17.5</v>
      </c>
    </row>
    <row r="10" spans="2:12" x14ac:dyDescent="0.3">
      <c r="B10" s="96" t="s">
        <v>342</v>
      </c>
    </row>
    <row r="11" spans="2:12" ht="56.25" customHeight="1" x14ac:dyDescent="0.3">
      <c r="B11" s="321" t="s">
        <v>368</v>
      </c>
      <c r="C11" s="321"/>
      <c r="D11" s="321"/>
      <c r="E11" s="321"/>
      <c r="F11" s="321"/>
    </row>
    <row r="12" spans="2:12" ht="18" customHeight="1" x14ac:dyDescent="0.3">
      <c r="B12" s="321" t="s">
        <v>361</v>
      </c>
      <c r="C12" s="321"/>
      <c r="D12" s="321"/>
      <c r="E12" s="321"/>
      <c r="F12" s="321"/>
    </row>
    <row r="13" spans="2:12" ht="28.5" customHeight="1" x14ac:dyDescent="0.3">
      <c r="B13" s="321" t="s">
        <v>369</v>
      </c>
      <c r="C13" s="321"/>
      <c r="D13" s="321"/>
      <c r="E13" s="321"/>
      <c r="F13" s="321"/>
    </row>
    <row r="14" spans="2:12" ht="18.75" customHeight="1" x14ac:dyDescent="0.3">
      <c r="B14" s="321" t="s">
        <v>370</v>
      </c>
      <c r="C14" s="321"/>
      <c r="D14" s="321"/>
      <c r="E14" s="321"/>
      <c r="F14" s="321"/>
    </row>
    <row r="15" spans="2:12" ht="18.75" customHeight="1" x14ac:dyDescent="0.3">
      <c r="B15" s="321" t="s">
        <v>371</v>
      </c>
      <c r="C15" s="321"/>
      <c r="D15" s="321"/>
      <c r="E15" s="321"/>
      <c r="F15" s="321"/>
      <c r="G15" s="71"/>
      <c r="H15" s="71"/>
      <c r="I15" s="71"/>
      <c r="J15" s="71"/>
      <c r="K15" s="71"/>
      <c r="L15" s="71"/>
    </row>
    <row r="16" spans="2:12" ht="18.75" customHeight="1" x14ac:dyDescent="0.3">
      <c r="B16" s="321" t="s">
        <v>360</v>
      </c>
      <c r="C16" s="321"/>
      <c r="D16" s="321"/>
      <c r="E16" s="321"/>
      <c r="F16" s="321"/>
      <c r="G16" s="71"/>
      <c r="H16" s="71"/>
      <c r="I16" s="71"/>
      <c r="J16" s="71"/>
      <c r="K16" s="71"/>
      <c r="L16" s="71"/>
    </row>
    <row r="17" spans="2:12" ht="36.450000000000003" customHeight="1" x14ac:dyDescent="0.3">
      <c r="B17" s="321" t="s">
        <v>372</v>
      </c>
      <c r="C17" s="321"/>
      <c r="D17" s="321"/>
      <c r="E17" s="321"/>
      <c r="F17" s="321"/>
      <c r="G17" s="71"/>
      <c r="H17" s="71"/>
      <c r="I17" s="71"/>
      <c r="J17" s="71"/>
      <c r="K17" s="71"/>
      <c r="L17" s="71"/>
    </row>
    <row r="18" spans="2:12" x14ac:dyDescent="0.3">
      <c r="B18" s="96"/>
    </row>
    <row r="19" spans="2:12" x14ac:dyDescent="0.3">
      <c r="B19" s="98"/>
    </row>
    <row r="20" spans="2:12" x14ac:dyDescent="0.3">
      <c r="B20" s="96"/>
    </row>
  </sheetData>
  <protectedRanges>
    <protectedRange sqref="C8" name="Yield"/>
  </protectedRanges>
  <mergeCells count="8">
    <mergeCell ref="B17:F17"/>
    <mergeCell ref="B12:F12"/>
    <mergeCell ref="B2:F2"/>
    <mergeCell ref="B11:F11"/>
    <mergeCell ref="B13:F13"/>
    <mergeCell ref="B14:F14"/>
    <mergeCell ref="B15:F15"/>
    <mergeCell ref="B16:F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8"/>
  <sheetViews>
    <sheetView workbookViewId="0">
      <selection activeCell="B2" sqref="B2:H2"/>
    </sheetView>
  </sheetViews>
  <sheetFormatPr defaultColWidth="9.109375" defaultRowHeight="14.4" x14ac:dyDescent="0.3"/>
  <cols>
    <col min="1" max="1" width="6.6640625" style="65" customWidth="1"/>
    <col min="2" max="2" width="26.44140625" style="65" customWidth="1"/>
    <col min="3" max="3" width="13.6640625" style="65" customWidth="1"/>
    <col min="4" max="7" width="12.6640625" style="65" customWidth="1"/>
    <col min="8" max="8" width="16" style="65" customWidth="1"/>
    <col min="9" max="9" width="3.6640625" style="65" customWidth="1"/>
    <col min="10" max="15" width="9.109375" style="100"/>
    <col min="16" max="16384" width="9.109375" style="65"/>
  </cols>
  <sheetData>
    <row r="2" spans="1:15" ht="42" customHeight="1" x14ac:dyDescent="0.3">
      <c r="B2" s="323" t="s">
        <v>448</v>
      </c>
      <c r="C2" s="323"/>
      <c r="D2" s="323"/>
      <c r="E2" s="323"/>
      <c r="F2" s="323"/>
      <c r="G2" s="323"/>
      <c r="H2" s="323"/>
    </row>
    <row r="3" spans="1:15" ht="46.8" customHeight="1" x14ac:dyDescent="0.3">
      <c r="A3" s="101"/>
      <c r="B3" s="253" t="s">
        <v>449</v>
      </c>
      <c r="C3" s="226" t="s">
        <v>0</v>
      </c>
      <c r="D3" s="226" t="s">
        <v>1</v>
      </c>
      <c r="E3" s="226" t="s">
        <v>2</v>
      </c>
      <c r="F3" s="226" t="s">
        <v>3</v>
      </c>
      <c r="G3" s="226" t="s">
        <v>21</v>
      </c>
      <c r="H3" s="227" t="s">
        <v>401</v>
      </c>
      <c r="I3" s="102"/>
      <c r="O3" s="65"/>
    </row>
    <row r="4" spans="1:15" x14ac:dyDescent="0.25">
      <c r="B4" s="99" t="s">
        <v>341</v>
      </c>
      <c r="C4" s="255">
        <f>'App5. Estab Costs'!$H$4</f>
        <v>580000</v>
      </c>
      <c r="D4" s="254">
        <v>0</v>
      </c>
      <c r="E4" s="254">
        <v>0</v>
      </c>
      <c r="F4" s="254">
        <v>0</v>
      </c>
      <c r="G4" s="254">
        <v>0</v>
      </c>
      <c r="H4" s="254">
        <v>0</v>
      </c>
    </row>
    <row r="5" spans="1:15" x14ac:dyDescent="0.25">
      <c r="B5" s="99" t="s">
        <v>4</v>
      </c>
      <c r="C5" s="255">
        <f>'App5. Estab Costs'!$H$11</f>
        <v>364000</v>
      </c>
      <c r="D5" s="254">
        <v>0</v>
      </c>
      <c r="E5" s="254">
        <v>0</v>
      </c>
      <c r="F5" s="254">
        <v>0</v>
      </c>
      <c r="G5" s="254">
        <v>0</v>
      </c>
      <c r="H5" s="254">
        <v>0</v>
      </c>
    </row>
    <row r="6" spans="1:15" x14ac:dyDescent="0.25">
      <c r="B6" s="80" t="s">
        <v>272</v>
      </c>
      <c r="C6" s="254">
        <v>0</v>
      </c>
      <c r="D6" s="254">
        <v>0</v>
      </c>
      <c r="E6" s="254">
        <v>0</v>
      </c>
      <c r="F6" s="254">
        <v>0</v>
      </c>
      <c r="G6" s="254">
        <v>0</v>
      </c>
      <c r="H6" s="254">
        <v>0</v>
      </c>
    </row>
    <row r="7" spans="1:15" x14ac:dyDescent="0.25">
      <c r="B7" s="99" t="s">
        <v>5</v>
      </c>
      <c r="C7" s="255">
        <f>'App5. Estab Costs'!$H$12+'App5. Estab Costs'!$H$13</f>
        <v>134400</v>
      </c>
      <c r="D7" s="254">
        <v>0</v>
      </c>
      <c r="E7" s="254">
        <v>0</v>
      </c>
      <c r="F7" s="254">
        <v>0</v>
      </c>
      <c r="G7" s="254">
        <v>0</v>
      </c>
      <c r="H7" s="254">
        <v>0</v>
      </c>
    </row>
    <row r="8" spans="1:15" x14ac:dyDescent="0.25">
      <c r="B8" s="99" t="s">
        <v>6</v>
      </c>
      <c r="C8" s="255">
        <f>'App5. Estab Costs'!$H$14</f>
        <v>25200</v>
      </c>
      <c r="D8" s="254">
        <v>0</v>
      </c>
      <c r="E8" s="254">
        <v>0</v>
      </c>
      <c r="F8" s="254">
        <v>0</v>
      </c>
      <c r="G8" s="254">
        <v>0</v>
      </c>
      <c r="H8" s="254">
        <v>0</v>
      </c>
    </row>
    <row r="9" spans="1:15" x14ac:dyDescent="0.25">
      <c r="B9" s="99" t="s">
        <v>7</v>
      </c>
      <c r="C9" s="255">
        <f>'App5. Estab Costs'!$H$15</f>
        <v>84000</v>
      </c>
      <c r="D9" s="254">
        <v>0</v>
      </c>
      <c r="E9" s="254">
        <v>0</v>
      </c>
      <c r="F9" s="254">
        <v>0</v>
      </c>
      <c r="G9" s="254">
        <v>0</v>
      </c>
      <c r="H9" s="254">
        <v>0</v>
      </c>
    </row>
    <row r="10" spans="1:15" x14ac:dyDescent="0.25">
      <c r="B10" s="99" t="s">
        <v>117</v>
      </c>
      <c r="C10" s="255">
        <f>'App5. Estab Costs'!$H$24</f>
        <v>112443.52</v>
      </c>
      <c r="D10" s="254">
        <v>0</v>
      </c>
      <c r="E10" s="254">
        <v>0</v>
      </c>
      <c r="F10" s="254">
        <v>0</v>
      </c>
      <c r="G10" s="254">
        <v>0</v>
      </c>
      <c r="H10" s="254">
        <v>0</v>
      </c>
    </row>
    <row r="11" spans="1:15" ht="16.8" x14ac:dyDescent="0.3">
      <c r="B11" s="99" t="s">
        <v>165</v>
      </c>
      <c r="C11" s="255">
        <f>('Granny Smith-Angled V Budget'!D28+'Granny Smith-Angled V Budget'!D30+'Granny Smith-Angled V Budget'!D31+'Granny Smith-Angled V Budget'!D32+'Granny Smith-Angled V Budget'!D52)*'App9. Data for tables'!$C$78</f>
        <v>826966.12844999996</v>
      </c>
      <c r="D11" s="255">
        <f>('Granny Smith-Angled V Budget'!E28+'Granny Smith-Angled V Budget'!E30+'Granny Smith-Angled V Budget'!E31+'Granny Smith-Angled V Budget'!E32+'Granny Smith-Angled V Budget'!E52)*'App9. Data for tables'!$D$78</f>
        <v>173951.25510000001</v>
      </c>
      <c r="E11" s="255">
        <f>('Granny Smith-Angled V Budget'!F28+'Granny Smith-Angled V Budget'!F30+'Granny Smith-Angled V Budget'!F31+'Granny Smith-Angled V Budget'!F32+'Granny Smith-Angled V Budget'!F52)*'App9. Data for tables'!$E$78</f>
        <v>620493.21390000009</v>
      </c>
      <c r="F11" s="255">
        <f>('Granny Smith-Angled V Budget'!G28+'Granny Smith-Angled V Budget'!G30+'Granny Smith-Angled V Budget'!G31+'Granny Smith-Angled V Budget'!G32+'Granny Smith-Angled V Budget'!G52)*'App9. Data for tables'!$F$78</f>
        <v>787044.58140000002</v>
      </c>
      <c r="G11" s="255">
        <f>('Granny Smith-Angled V Budget'!H28+'Granny Smith-Angled V Budget'!H30+'Granny Smith-Angled V Budget'!H31+'Granny Smith-Angled V Budget'!H32+'Granny Smith-Angled V Budget'!H52)*'App9. Data for tables'!$G$78</f>
        <v>979719.68640000024</v>
      </c>
      <c r="H11" s="255">
        <f>('Granny Smith-Angled V Budget'!I28+'Granny Smith-Angled V Budget'!I30+'Granny Smith-Angled V Budget'!I31+'Granny Smith-Angled V Budget'!I32+'Granny Smith-Angled V Budget'!I52)*'App9. Data for tables'!$H$78</f>
        <v>1148082.5643</v>
      </c>
    </row>
    <row r="12" spans="1:15" x14ac:dyDescent="0.3">
      <c r="B12" s="103" t="s">
        <v>106</v>
      </c>
      <c r="C12" s="255">
        <f t="shared" ref="C12:H12" si="0">SUM(C4:C11)</f>
        <v>2127009.6484500002</v>
      </c>
      <c r="D12" s="255">
        <f t="shared" si="0"/>
        <v>173951.25510000001</v>
      </c>
      <c r="E12" s="255">
        <f t="shared" si="0"/>
        <v>620493.21390000009</v>
      </c>
      <c r="F12" s="255">
        <f t="shared" si="0"/>
        <v>787044.58140000002</v>
      </c>
      <c r="G12" s="255">
        <f t="shared" si="0"/>
        <v>979719.68640000024</v>
      </c>
      <c r="H12" s="255">
        <f t="shared" si="0"/>
        <v>1148082.5643</v>
      </c>
    </row>
    <row r="13" spans="1:15" x14ac:dyDescent="0.3">
      <c r="C13" s="255"/>
      <c r="D13" s="255"/>
      <c r="E13" s="255"/>
      <c r="F13" s="255"/>
      <c r="G13" s="255"/>
      <c r="H13" s="255"/>
    </row>
    <row r="14" spans="1:15" x14ac:dyDescent="0.3">
      <c r="B14" s="103" t="s">
        <v>107</v>
      </c>
      <c r="C14" s="256">
        <f>'Granny Smith-Angled V Budget'!D7*'App9. Data for tables'!$C$78</f>
        <v>0</v>
      </c>
      <c r="D14" s="256">
        <f>'Granny Smith-Angled V Budget'!E7*'App9. Data for tables'!$D$78</f>
        <v>0</v>
      </c>
      <c r="E14" s="256">
        <f>'Granny Smith-Angled V Budget'!F7*'App9. Data for tables'!$E$78</f>
        <v>438256</v>
      </c>
      <c r="F14" s="256">
        <f>'Granny Smith-Angled V Budget'!G7*'App9. Data for tables'!$F$78</f>
        <v>631904</v>
      </c>
      <c r="G14" s="256">
        <f>'Granny Smith-Angled V Budget'!H7*'App9. Data for tables'!$G$78</f>
        <v>825552</v>
      </c>
      <c r="H14" s="256">
        <f>'Granny Smith-Angled V Budget'!I7*'App9. Data for tables'!$H$78</f>
        <v>1009008</v>
      </c>
    </row>
    <row r="15" spans="1:15" x14ac:dyDescent="0.3">
      <c r="C15" s="256"/>
      <c r="D15" s="256"/>
      <c r="E15" s="256"/>
      <c r="F15" s="256"/>
      <c r="G15" s="256"/>
      <c r="H15" s="256"/>
    </row>
    <row r="16" spans="1:15" x14ac:dyDescent="0.3">
      <c r="B16" s="104" t="s">
        <v>108</v>
      </c>
      <c r="C16" s="257">
        <f t="shared" ref="C16:H16" si="1">C12-C14</f>
        <v>2127009.6484500002</v>
      </c>
      <c r="D16" s="257">
        <f t="shared" si="1"/>
        <v>173951.25510000001</v>
      </c>
      <c r="E16" s="257">
        <f t="shared" si="1"/>
        <v>182237.21390000009</v>
      </c>
      <c r="F16" s="257">
        <f t="shared" si="1"/>
        <v>155140.58140000002</v>
      </c>
      <c r="G16" s="257">
        <f t="shared" si="1"/>
        <v>154167.68640000024</v>
      </c>
      <c r="H16" s="257">
        <f t="shared" si="1"/>
        <v>139074.56429999997</v>
      </c>
    </row>
    <row r="17" spans="2:9" x14ac:dyDescent="0.3">
      <c r="B17" s="105" t="s">
        <v>118</v>
      </c>
    </row>
    <row r="18" spans="2:9" ht="15.6" x14ac:dyDescent="0.3">
      <c r="B18" s="58" t="s">
        <v>273</v>
      </c>
    </row>
    <row r="19" spans="2:9" x14ac:dyDescent="0.3">
      <c r="B19" s="58" t="s">
        <v>166</v>
      </c>
      <c r="F19" s="106"/>
      <c r="G19" s="106"/>
      <c r="H19" s="106"/>
    </row>
    <row r="20" spans="2:9" x14ac:dyDescent="0.3">
      <c r="C20" s="57"/>
      <c r="D20" s="57"/>
      <c r="E20" s="57"/>
      <c r="F20" s="57"/>
      <c r="G20" s="57"/>
      <c r="H20" s="57"/>
      <c r="I20" s="57"/>
    </row>
    <row r="21" spans="2:9" x14ac:dyDescent="0.3">
      <c r="F21" s="106"/>
      <c r="G21" s="106"/>
      <c r="H21" s="106"/>
    </row>
    <row r="22" spans="2:9" x14ac:dyDescent="0.3">
      <c r="F22" s="106"/>
      <c r="G22" s="106"/>
      <c r="H22" s="106"/>
    </row>
    <row r="23" spans="2:9" x14ac:dyDescent="0.3">
      <c r="F23" s="106"/>
      <c r="G23" s="106"/>
      <c r="H23" s="106"/>
    </row>
    <row r="24" spans="2:9" x14ac:dyDescent="0.3">
      <c r="F24" s="106"/>
      <c r="G24" s="106"/>
      <c r="H24" s="106"/>
    </row>
    <row r="25" spans="2:9" x14ac:dyDescent="0.3">
      <c r="F25" s="106"/>
      <c r="G25" s="106"/>
      <c r="H25" s="106"/>
    </row>
    <row r="26" spans="2:9" x14ac:dyDescent="0.3">
      <c r="F26" s="106"/>
      <c r="G26" s="106"/>
      <c r="H26" s="106"/>
    </row>
    <row r="27" spans="2:9" x14ac:dyDescent="0.3">
      <c r="F27" s="106"/>
      <c r="G27" s="106"/>
      <c r="H27" s="106"/>
    </row>
    <row r="28" spans="2:9" x14ac:dyDescent="0.3">
      <c r="F28" s="106"/>
      <c r="G28" s="106"/>
      <c r="H28" s="106"/>
    </row>
  </sheetData>
  <mergeCells count="1">
    <mergeCell ref="B2:H2"/>
  </mergeCells>
  <phoneticPr fontId="18"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workbookViewId="0">
      <selection activeCell="B2" sqref="B2:F2"/>
    </sheetView>
  </sheetViews>
  <sheetFormatPr defaultColWidth="9.109375" defaultRowHeight="14.4" x14ac:dyDescent="0.3"/>
  <cols>
    <col min="1" max="1" width="9.109375" style="4"/>
    <col min="2" max="2" width="32" style="2" customWidth="1"/>
    <col min="3" max="3" width="20" style="2" customWidth="1"/>
    <col min="4" max="6" width="16.6640625" style="2" customWidth="1"/>
    <col min="7" max="7" width="9.109375" style="2"/>
    <col min="8" max="16384" width="9.109375" style="4"/>
  </cols>
  <sheetData>
    <row r="2" spans="2:7" ht="41.25" customHeight="1" x14ac:dyDescent="0.3">
      <c r="B2" s="324" t="s">
        <v>450</v>
      </c>
      <c r="C2" s="324"/>
      <c r="D2" s="324"/>
      <c r="E2" s="324"/>
      <c r="F2" s="324"/>
      <c r="G2" s="3"/>
    </row>
    <row r="3" spans="2:7" ht="30.6" x14ac:dyDescent="0.3">
      <c r="B3" s="258" t="s">
        <v>451</v>
      </c>
      <c r="C3" s="258" t="s">
        <v>277</v>
      </c>
      <c r="D3" s="220" t="s">
        <v>167</v>
      </c>
      <c r="E3" s="220" t="s">
        <v>48</v>
      </c>
      <c r="F3" s="220" t="s">
        <v>115</v>
      </c>
      <c r="G3" s="1"/>
    </row>
    <row r="4" spans="2:7" x14ac:dyDescent="0.3">
      <c r="B4" s="50" t="s">
        <v>155</v>
      </c>
      <c r="C4" s="50"/>
      <c r="D4" s="35">
        <v>150000</v>
      </c>
      <c r="E4" s="36">
        <v>1</v>
      </c>
      <c r="F4" s="5">
        <f t="shared" ref="F4:F15" si="0">D4*E4</f>
        <v>150000</v>
      </c>
      <c r="G4" s="1"/>
    </row>
    <row r="5" spans="2:7" ht="17.399999999999999" x14ac:dyDescent="0.3">
      <c r="B5" s="50" t="s">
        <v>169</v>
      </c>
      <c r="C5" s="50"/>
      <c r="D5" s="35">
        <v>150000</v>
      </c>
      <c r="E5" s="36">
        <v>1</v>
      </c>
      <c r="F5" s="5">
        <f t="shared" si="0"/>
        <v>150000</v>
      </c>
      <c r="G5" s="1"/>
    </row>
    <row r="6" spans="2:7" x14ac:dyDescent="0.3">
      <c r="B6" s="50" t="s">
        <v>49</v>
      </c>
      <c r="C6" s="50" t="s">
        <v>278</v>
      </c>
      <c r="D6" s="35">
        <v>50000</v>
      </c>
      <c r="E6" s="36">
        <v>5</v>
      </c>
      <c r="F6" s="5">
        <f t="shared" si="0"/>
        <v>250000</v>
      </c>
      <c r="G6" s="1"/>
    </row>
    <row r="7" spans="2:7" x14ac:dyDescent="0.3">
      <c r="B7" s="50" t="s">
        <v>50</v>
      </c>
      <c r="C7" s="50" t="s">
        <v>279</v>
      </c>
      <c r="D7" s="35">
        <v>27500</v>
      </c>
      <c r="E7" s="36">
        <v>2</v>
      </c>
      <c r="F7" s="5">
        <f t="shared" si="0"/>
        <v>55000</v>
      </c>
      <c r="G7" s="1"/>
    </row>
    <row r="8" spans="2:7" x14ac:dyDescent="0.3">
      <c r="B8" s="50" t="s">
        <v>170</v>
      </c>
      <c r="C8" s="50" t="s">
        <v>280</v>
      </c>
      <c r="D8" s="35">
        <v>8000</v>
      </c>
      <c r="E8" s="36">
        <v>3</v>
      </c>
      <c r="F8" s="5">
        <f t="shared" si="0"/>
        <v>24000</v>
      </c>
      <c r="G8" s="1"/>
    </row>
    <row r="9" spans="2:7" x14ac:dyDescent="0.3">
      <c r="B9" s="50" t="s">
        <v>156</v>
      </c>
      <c r="C9" s="50"/>
      <c r="D9" s="35">
        <v>30000</v>
      </c>
      <c r="E9" s="36">
        <v>5</v>
      </c>
      <c r="F9" s="5">
        <f t="shared" si="0"/>
        <v>150000</v>
      </c>
      <c r="G9" s="1"/>
    </row>
    <row r="10" spans="2:7" x14ac:dyDescent="0.3">
      <c r="B10" s="50" t="s">
        <v>157</v>
      </c>
      <c r="C10" s="50"/>
      <c r="D10" s="35">
        <v>7000</v>
      </c>
      <c r="E10" s="36">
        <v>1</v>
      </c>
      <c r="F10" s="5">
        <f t="shared" si="0"/>
        <v>7000</v>
      </c>
      <c r="G10" s="1"/>
    </row>
    <row r="11" spans="2:7" x14ac:dyDescent="0.3">
      <c r="B11" s="50" t="s">
        <v>283</v>
      </c>
      <c r="C11" s="50" t="s">
        <v>281</v>
      </c>
      <c r="D11" s="35">
        <v>7500</v>
      </c>
      <c r="E11" s="36">
        <v>1</v>
      </c>
      <c r="F11" s="5">
        <f t="shared" si="0"/>
        <v>7500</v>
      </c>
      <c r="G11" s="1"/>
    </row>
    <row r="12" spans="2:7" x14ac:dyDescent="0.3">
      <c r="B12" s="50" t="s">
        <v>158</v>
      </c>
      <c r="C12" s="50"/>
      <c r="D12" s="35">
        <v>9000</v>
      </c>
      <c r="E12" s="36">
        <v>1</v>
      </c>
      <c r="F12" s="5">
        <f t="shared" si="0"/>
        <v>9000</v>
      </c>
      <c r="G12" s="1"/>
    </row>
    <row r="13" spans="2:7" x14ac:dyDescent="0.3">
      <c r="B13" s="50" t="s">
        <v>159</v>
      </c>
      <c r="C13" s="50"/>
      <c r="D13" s="35">
        <v>30000</v>
      </c>
      <c r="E13" s="36">
        <v>2</v>
      </c>
      <c r="F13" s="5">
        <f>D13*E13</f>
        <v>60000</v>
      </c>
      <c r="G13" s="1"/>
    </row>
    <row r="14" spans="2:7" x14ac:dyDescent="0.3">
      <c r="B14" s="51" t="s">
        <v>160</v>
      </c>
      <c r="C14" s="51"/>
      <c r="D14" s="35">
        <v>7500</v>
      </c>
      <c r="E14" s="36">
        <v>3</v>
      </c>
      <c r="F14" s="5">
        <f t="shared" si="0"/>
        <v>22500</v>
      </c>
      <c r="G14" s="1"/>
    </row>
    <row r="15" spans="2:7" x14ac:dyDescent="0.3">
      <c r="B15" s="51" t="s">
        <v>171</v>
      </c>
      <c r="C15" s="51" t="s">
        <v>284</v>
      </c>
      <c r="D15" s="35">
        <v>45000</v>
      </c>
      <c r="E15" s="36">
        <v>1</v>
      </c>
      <c r="F15" s="5">
        <f t="shared" si="0"/>
        <v>45000</v>
      </c>
      <c r="G15" s="1"/>
    </row>
    <row r="16" spans="2:7" x14ac:dyDescent="0.3">
      <c r="B16" s="51" t="s">
        <v>285</v>
      </c>
      <c r="C16" s="51" t="s">
        <v>282</v>
      </c>
      <c r="D16" s="35">
        <v>130</v>
      </c>
      <c r="E16" s="36">
        <v>100</v>
      </c>
      <c r="F16" s="5">
        <f>D16*E16</f>
        <v>13000</v>
      </c>
      <c r="G16" s="1"/>
    </row>
    <row r="17" spans="2:7" x14ac:dyDescent="0.3">
      <c r="B17" s="51" t="s">
        <v>218</v>
      </c>
      <c r="C17" s="51"/>
      <c r="D17" s="35">
        <v>60000</v>
      </c>
      <c r="E17" s="36">
        <v>3</v>
      </c>
      <c r="F17" s="5">
        <f>D17*E17</f>
        <v>180000</v>
      </c>
      <c r="G17" s="1"/>
    </row>
    <row r="18" spans="2:7" ht="17.399999999999999" x14ac:dyDescent="0.3">
      <c r="B18" s="51" t="s">
        <v>172</v>
      </c>
      <c r="C18" s="51"/>
      <c r="D18" s="35">
        <v>50000</v>
      </c>
      <c r="E18" s="36">
        <v>1</v>
      </c>
      <c r="F18" s="5">
        <f>D18*E18</f>
        <v>50000</v>
      </c>
      <c r="G18" s="1"/>
    </row>
    <row r="19" spans="2:7" ht="18" thickBot="1" x14ac:dyDescent="0.35">
      <c r="B19" s="51" t="s">
        <v>173</v>
      </c>
      <c r="C19" s="51"/>
      <c r="D19" s="35">
        <v>15000</v>
      </c>
      <c r="E19" s="36">
        <v>1</v>
      </c>
      <c r="F19" s="34">
        <f>D19*E19</f>
        <v>15000</v>
      </c>
      <c r="G19" s="1"/>
    </row>
    <row r="20" spans="2:7" ht="15" thickTop="1" x14ac:dyDescent="0.3">
      <c r="B20" s="48" t="s">
        <v>36</v>
      </c>
      <c r="C20" s="118"/>
      <c r="D20" s="52"/>
      <c r="E20" s="53"/>
      <c r="F20" s="49">
        <f>SUM(F4:F19)</f>
        <v>1188000</v>
      </c>
      <c r="G20" s="1"/>
    </row>
    <row r="21" spans="2:7" x14ac:dyDescent="0.3">
      <c r="B21" s="16" t="s">
        <v>132</v>
      </c>
      <c r="C21" s="16"/>
      <c r="D21" s="1"/>
      <c r="E21" s="1"/>
      <c r="F21" s="1"/>
      <c r="G21" s="1"/>
    </row>
    <row r="22" spans="2:7" s="66" customFormat="1" ht="28.95" customHeight="1" x14ac:dyDescent="0.3">
      <c r="B22" s="319" t="s">
        <v>340</v>
      </c>
      <c r="C22" s="319"/>
      <c r="D22" s="319"/>
      <c r="E22" s="319"/>
      <c r="F22" s="319"/>
      <c r="G22" s="65"/>
    </row>
    <row r="23" spans="2:7" s="66" customFormat="1" x14ac:dyDescent="0.3">
      <c r="B23" s="58" t="s">
        <v>168</v>
      </c>
      <c r="C23" s="58"/>
      <c r="D23" s="65"/>
      <c r="E23" s="65"/>
      <c r="F23" s="65"/>
      <c r="G23" s="65"/>
    </row>
    <row r="24" spans="2:7" s="66" customFormat="1" ht="29.4" customHeight="1" x14ac:dyDescent="0.3">
      <c r="B24" s="319" t="s">
        <v>174</v>
      </c>
      <c r="C24" s="319"/>
      <c r="D24" s="319"/>
      <c r="E24" s="319"/>
      <c r="F24" s="319"/>
      <c r="G24" s="65"/>
    </row>
    <row r="25" spans="2:7" s="66" customFormat="1" ht="30.6" customHeight="1" x14ac:dyDescent="0.3">
      <c r="B25" s="319" t="s">
        <v>175</v>
      </c>
      <c r="C25" s="319"/>
      <c r="D25" s="319"/>
      <c r="E25" s="319"/>
      <c r="F25" s="319"/>
      <c r="G25" s="65"/>
    </row>
    <row r="26" spans="2:7" s="66" customFormat="1" x14ac:dyDescent="0.3">
      <c r="B26" s="58" t="s">
        <v>176</v>
      </c>
      <c r="C26" s="58"/>
      <c r="D26" s="65"/>
      <c r="E26" s="65"/>
      <c r="F26" s="65"/>
      <c r="G26" s="65"/>
    </row>
    <row r="28" spans="2:7" x14ac:dyDescent="0.3">
      <c r="B28" s="4"/>
      <c r="C28" s="4"/>
    </row>
  </sheetData>
  <protectedRanges>
    <protectedRange sqref="D4:E19" name="Price and No. of Units_1"/>
  </protectedRanges>
  <mergeCells count="4">
    <mergeCell ref="B2:F2"/>
    <mergeCell ref="B22:F22"/>
    <mergeCell ref="B24:F24"/>
    <mergeCell ref="B25:F25"/>
  </mergeCells>
  <phoneticPr fontId="18"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workbookViewId="0">
      <selection activeCell="B2" sqref="B2:G2"/>
    </sheetView>
  </sheetViews>
  <sheetFormatPr defaultColWidth="9.109375" defaultRowHeight="13.8" x14ac:dyDescent="0.3"/>
  <cols>
    <col min="1" max="1" width="6.6640625" style="77" customWidth="1"/>
    <col min="2" max="2" width="31.6640625" style="77" customWidth="1"/>
    <col min="3" max="3" width="15.44140625" style="77" customWidth="1"/>
    <col min="4" max="6" width="14.44140625" style="77" customWidth="1"/>
    <col min="7" max="7" width="17.6640625" style="77" customWidth="1"/>
    <col min="8" max="8" width="5.109375" style="77" customWidth="1"/>
    <col min="9" max="9" width="9.109375" style="77"/>
    <col min="10" max="10" width="10.44140625" style="77" bestFit="1" customWidth="1"/>
    <col min="11" max="16384" width="9.109375" style="77"/>
  </cols>
  <sheetData>
    <row r="2" spans="2:8" ht="39.75" customHeight="1" x14ac:dyDescent="0.3">
      <c r="B2" s="320" t="s">
        <v>452</v>
      </c>
      <c r="C2" s="320"/>
      <c r="D2" s="320"/>
      <c r="E2" s="320"/>
      <c r="F2" s="320"/>
      <c r="G2" s="320"/>
      <c r="H2" s="184"/>
    </row>
    <row r="3" spans="2:8" s="78" customFormat="1" ht="30.6" x14ac:dyDescent="0.3">
      <c r="B3" s="259" t="s">
        <v>453</v>
      </c>
      <c r="C3" s="260" t="s">
        <v>30</v>
      </c>
      <c r="D3" s="260" t="s">
        <v>183</v>
      </c>
      <c r="E3" s="260" t="s">
        <v>24</v>
      </c>
      <c r="F3" s="260" t="s">
        <v>31</v>
      </c>
      <c r="G3" s="260" t="s">
        <v>184</v>
      </c>
    </row>
    <row r="4" spans="2:8" ht="16.8" x14ac:dyDescent="0.25">
      <c r="B4" s="75" t="s">
        <v>177</v>
      </c>
      <c r="C4" s="185">
        <f>'App5. Estab Costs'!$H$12+'App5. Estab Costs'!$H$13</f>
        <v>134400</v>
      </c>
      <c r="D4" s="185">
        <v>0</v>
      </c>
      <c r="E4" s="185">
        <f>'App9. Data for tables'!$H$78</f>
        <v>28</v>
      </c>
      <c r="F4" s="186">
        <f>((C4+D4)/2)*$C$13</f>
        <v>3360</v>
      </c>
      <c r="G4" s="116">
        <f>F4/E4</f>
        <v>120</v>
      </c>
      <c r="H4" s="187"/>
    </row>
    <row r="5" spans="2:8" ht="16.8" x14ac:dyDescent="0.25">
      <c r="B5" s="115" t="s">
        <v>271</v>
      </c>
      <c r="C5" s="185">
        <f>'App9. Data for tables'!$F$21*'App9. Data for tables'!$F$78</f>
        <v>0</v>
      </c>
      <c r="D5" s="185">
        <v>0</v>
      </c>
      <c r="E5" s="185">
        <f>'App9. Data for tables'!$H$78</f>
        <v>28</v>
      </c>
      <c r="F5" s="186">
        <f>((C5+D5)/2)*$C$13</f>
        <v>0</v>
      </c>
      <c r="G5" s="116">
        <f>F5/E5</f>
        <v>0</v>
      </c>
      <c r="H5" s="187"/>
    </row>
    <row r="6" spans="2:8" x14ac:dyDescent="0.25">
      <c r="B6" s="75" t="s">
        <v>13</v>
      </c>
      <c r="C6" s="185">
        <f>'App5. Estab Costs'!$H$4</f>
        <v>580000</v>
      </c>
      <c r="D6" s="185" t="s">
        <v>142</v>
      </c>
      <c r="E6" s="185">
        <f>'App9. Data for tables'!$H$77</f>
        <v>29</v>
      </c>
      <c r="F6" s="186">
        <f>C6*$C$13</f>
        <v>29000</v>
      </c>
      <c r="G6" s="116">
        <f>F6/E6</f>
        <v>1000</v>
      </c>
    </row>
    <row r="7" spans="2:8" ht="16.8" x14ac:dyDescent="0.25">
      <c r="B7" s="75" t="s">
        <v>178</v>
      </c>
      <c r="C7" s="185">
        <f>'App2. Mach Etc Req'!$F$20</f>
        <v>1188000</v>
      </c>
      <c r="D7" s="185">
        <f>'App7. Salv Value &amp; Dep Calc'!F20</f>
        <v>88800</v>
      </c>
      <c r="E7" s="185">
        <f>'App9. Data for tables'!$H$80</f>
        <v>300</v>
      </c>
      <c r="F7" s="186">
        <f>((C7+D7)/2)*$C$13</f>
        <v>31920</v>
      </c>
      <c r="G7" s="116">
        <f>F7/E7</f>
        <v>106.4</v>
      </c>
    </row>
    <row r="8" spans="2:8" ht="16.8" x14ac:dyDescent="0.25">
      <c r="B8" s="78" t="s">
        <v>179</v>
      </c>
      <c r="C8" s="186">
        <f>'App5. Estab Costs'!$H$14</f>
        <v>25200</v>
      </c>
      <c r="D8" s="188">
        <v>0</v>
      </c>
      <c r="E8" s="185">
        <f>'App9. Data for tables'!$H$78</f>
        <v>28</v>
      </c>
      <c r="F8" s="186">
        <f>((C8+D8)/2)*$C$13</f>
        <v>630</v>
      </c>
      <c r="G8" s="116">
        <f t="shared" ref="G8:G10" si="0">F8/E8</f>
        <v>22.5</v>
      </c>
    </row>
    <row r="9" spans="2:8" ht="16.8" x14ac:dyDescent="0.25">
      <c r="B9" s="75" t="s">
        <v>180</v>
      </c>
      <c r="C9" s="185">
        <f>'App5. Estab Costs'!$H$15</f>
        <v>84000</v>
      </c>
      <c r="D9" s="185">
        <v>0</v>
      </c>
      <c r="E9" s="185">
        <f>'App9. Data for tables'!$H$78</f>
        <v>28</v>
      </c>
      <c r="F9" s="186">
        <f>((C9+D9)/2)*$C$13</f>
        <v>2100</v>
      </c>
      <c r="G9" s="116">
        <f t="shared" si="0"/>
        <v>75</v>
      </c>
    </row>
    <row r="10" spans="2:8" ht="16.8" x14ac:dyDescent="0.25">
      <c r="B10" s="78" t="s">
        <v>181</v>
      </c>
      <c r="C10" s="186">
        <f>'App5. Estab Costs'!$H$11</f>
        <v>364000</v>
      </c>
      <c r="D10" s="188">
        <v>0</v>
      </c>
      <c r="E10" s="185">
        <f>'App9. Data for tables'!$H$78</f>
        <v>28</v>
      </c>
      <c r="F10" s="186">
        <f>((C10+D10)/2)*$C$13</f>
        <v>9100</v>
      </c>
      <c r="G10" s="116">
        <f t="shared" si="0"/>
        <v>325</v>
      </c>
    </row>
    <row r="11" spans="2:8" ht="16.8" x14ac:dyDescent="0.25">
      <c r="B11" s="189" t="s">
        <v>182</v>
      </c>
      <c r="C11" s="190">
        <f>'App5. Estab Costs'!$H$24</f>
        <v>112443.52</v>
      </c>
      <c r="D11" s="190">
        <v>0</v>
      </c>
      <c r="E11" s="236">
        <f>'App9. Data for tables'!$H$78</f>
        <v>28</v>
      </c>
      <c r="F11" s="191">
        <f>((C11+D11)/2)*$C$13</f>
        <v>2811.0880000000002</v>
      </c>
      <c r="G11" s="192">
        <f>F11/E11</f>
        <v>100.396</v>
      </c>
    </row>
    <row r="12" spans="2:8" x14ac:dyDescent="0.3">
      <c r="B12" s="193" t="s">
        <v>118</v>
      </c>
    </row>
    <row r="13" spans="2:8" x14ac:dyDescent="0.3">
      <c r="B13" s="64" t="s">
        <v>29</v>
      </c>
      <c r="C13" s="261">
        <f>'App9. Data for tables'!$C$74</f>
        <v>0.05</v>
      </c>
    </row>
    <row r="14" spans="2:8" x14ac:dyDescent="0.3">
      <c r="B14" s="193" t="s">
        <v>185</v>
      </c>
      <c r="C14" s="194"/>
      <c r="G14" s="195"/>
    </row>
    <row r="15" spans="2:8" s="78" customFormat="1" ht="28.2" customHeight="1" x14ac:dyDescent="0.3">
      <c r="B15" s="317" t="s">
        <v>186</v>
      </c>
      <c r="C15" s="317"/>
      <c r="D15" s="317"/>
      <c r="E15" s="317"/>
      <c r="F15" s="317"/>
      <c r="G15" s="317"/>
    </row>
    <row r="16" spans="2:8" s="78" customFormat="1" ht="31.2" customHeight="1" x14ac:dyDescent="0.3">
      <c r="B16" s="317" t="s">
        <v>454</v>
      </c>
      <c r="C16" s="317"/>
      <c r="D16" s="317"/>
      <c r="E16" s="317"/>
      <c r="F16" s="317"/>
      <c r="G16" s="317"/>
    </row>
    <row r="17" spans="2:7" s="78" customFormat="1" ht="31.2" customHeight="1" x14ac:dyDescent="0.3">
      <c r="B17" s="317" t="s">
        <v>187</v>
      </c>
      <c r="C17" s="317"/>
      <c r="D17" s="317"/>
      <c r="E17" s="317"/>
      <c r="F17" s="317"/>
      <c r="G17" s="317"/>
    </row>
    <row r="18" spans="2:7" s="78" customFormat="1" ht="19.95" customHeight="1" x14ac:dyDescent="0.3">
      <c r="B18" s="326" t="s">
        <v>455</v>
      </c>
      <c r="C18" s="326"/>
      <c r="D18" s="326"/>
      <c r="E18" s="326"/>
      <c r="F18" s="326"/>
      <c r="G18" s="326"/>
    </row>
    <row r="19" spans="2:7" ht="23.7" customHeight="1" x14ac:dyDescent="0.3"/>
    <row r="20" spans="2:7" ht="42" customHeight="1" x14ac:dyDescent="0.3">
      <c r="B20" s="318" t="s">
        <v>456</v>
      </c>
      <c r="C20" s="318"/>
      <c r="D20" s="318"/>
      <c r="E20" s="318"/>
      <c r="F20" s="318"/>
      <c r="G20" s="318"/>
    </row>
    <row r="21" spans="2:7" s="78" customFormat="1" ht="40.200000000000003" customHeight="1" x14ac:dyDescent="0.3">
      <c r="B21" s="259" t="s">
        <v>453</v>
      </c>
      <c r="C21" s="260" t="s">
        <v>30</v>
      </c>
      <c r="D21" s="260" t="s">
        <v>24</v>
      </c>
      <c r="E21" s="260" t="s">
        <v>32</v>
      </c>
      <c r="F21" s="260" t="s">
        <v>135</v>
      </c>
      <c r="G21" s="260" t="s">
        <v>188</v>
      </c>
    </row>
    <row r="22" spans="2:7" x14ac:dyDescent="0.25">
      <c r="B22" s="75" t="s">
        <v>5</v>
      </c>
      <c r="C22" s="186">
        <f>C4</f>
        <v>134400</v>
      </c>
      <c r="D22" s="185">
        <f>'App9. Data for tables'!$H$78</f>
        <v>28</v>
      </c>
      <c r="E22" s="116">
        <f>C22/D22</f>
        <v>4800</v>
      </c>
      <c r="F22" s="196">
        <v>30</v>
      </c>
      <c r="G22" s="116">
        <f>(E22-D4)/F22</f>
        <v>160</v>
      </c>
    </row>
    <row r="23" spans="2:7" x14ac:dyDescent="0.25">
      <c r="B23" s="115" t="s">
        <v>272</v>
      </c>
      <c r="C23" s="186">
        <f>C5</f>
        <v>0</v>
      </c>
      <c r="D23" s="185">
        <f>'App9. Data for tables'!$H$78</f>
        <v>28</v>
      </c>
      <c r="E23" s="116">
        <f>C23/D23</f>
        <v>0</v>
      </c>
      <c r="F23" s="196">
        <v>20</v>
      </c>
      <c r="G23" s="116">
        <f>(E23-D5)/F23</f>
        <v>0</v>
      </c>
    </row>
    <row r="24" spans="2:7" x14ac:dyDescent="0.25">
      <c r="B24" s="78" t="s">
        <v>6</v>
      </c>
      <c r="C24" s="186">
        <f>C8</f>
        <v>25200</v>
      </c>
      <c r="D24" s="185">
        <f>'App9. Data for tables'!$H$78</f>
        <v>28</v>
      </c>
      <c r="E24" s="116">
        <f t="shared" ref="E24:E27" si="1">C24/D24</f>
        <v>900</v>
      </c>
      <c r="F24" s="196">
        <v>30</v>
      </c>
      <c r="G24" s="116">
        <f>(E24-D8)/F24</f>
        <v>30</v>
      </c>
    </row>
    <row r="25" spans="2:7" x14ac:dyDescent="0.25">
      <c r="B25" s="75" t="s">
        <v>7</v>
      </c>
      <c r="C25" s="186">
        <f>C9</f>
        <v>84000</v>
      </c>
      <c r="D25" s="185">
        <f>'App9. Data for tables'!$H$78</f>
        <v>28</v>
      </c>
      <c r="E25" s="116">
        <f t="shared" si="1"/>
        <v>3000</v>
      </c>
      <c r="F25" s="196">
        <v>50</v>
      </c>
      <c r="G25" s="116">
        <f>(E25-D9)/F25</f>
        <v>60</v>
      </c>
    </row>
    <row r="26" spans="2:7" x14ac:dyDescent="0.25">
      <c r="B26" s="78" t="s">
        <v>9</v>
      </c>
      <c r="C26" s="186">
        <f>C10</f>
        <v>364000</v>
      </c>
      <c r="D26" s="185">
        <f>'App9. Data for tables'!$H$78</f>
        <v>28</v>
      </c>
      <c r="E26" s="116">
        <f t="shared" si="1"/>
        <v>13000</v>
      </c>
      <c r="F26" s="196">
        <v>20</v>
      </c>
      <c r="G26" s="116">
        <f>(E26-D10)/F26</f>
        <v>650</v>
      </c>
    </row>
    <row r="27" spans="2:7" x14ac:dyDescent="0.25">
      <c r="B27" s="61" t="s">
        <v>117</v>
      </c>
      <c r="C27" s="186">
        <f>C11</f>
        <v>112443.52</v>
      </c>
      <c r="D27" s="185">
        <f>'App9. Data for tables'!$H$78</f>
        <v>28</v>
      </c>
      <c r="E27" s="116">
        <f t="shared" si="1"/>
        <v>4015.84</v>
      </c>
      <c r="F27" s="196">
        <v>30</v>
      </c>
      <c r="G27" s="116">
        <f>(E27-D11)/F27</f>
        <v>133.86133333333333</v>
      </c>
    </row>
    <row r="28" spans="2:7" ht="16.8" x14ac:dyDescent="0.25">
      <c r="B28" s="197" t="s">
        <v>189</v>
      </c>
      <c r="C28" s="262" t="s">
        <v>458</v>
      </c>
      <c r="D28" s="262" t="s">
        <v>458</v>
      </c>
      <c r="E28" s="262" t="s">
        <v>458</v>
      </c>
      <c r="F28" s="263" t="s">
        <v>458</v>
      </c>
      <c r="G28" s="198">
        <f>'App7. Salv Value &amp; Dep Calc'!H20</f>
        <v>306.93333333333334</v>
      </c>
    </row>
    <row r="29" spans="2:7" x14ac:dyDescent="0.3">
      <c r="B29" s="193" t="s">
        <v>118</v>
      </c>
    </row>
    <row r="30" spans="2:7" ht="18.75" customHeight="1" x14ac:dyDescent="0.3">
      <c r="B30" s="325" t="s">
        <v>190</v>
      </c>
      <c r="C30" s="325"/>
      <c r="D30" s="325"/>
      <c r="E30" s="325"/>
      <c r="F30" s="325"/>
      <c r="G30" s="325"/>
    </row>
    <row r="31" spans="2:7" x14ac:dyDescent="0.3">
      <c r="B31" s="193" t="s">
        <v>457</v>
      </c>
      <c r="C31" s="78"/>
      <c r="D31" s="78"/>
      <c r="E31" s="78"/>
      <c r="F31" s="78"/>
      <c r="G31" s="78"/>
    </row>
  </sheetData>
  <protectedRanges>
    <protectedRange sqref="F22:F27" name="Depreciation"/>
    <protectedRange sqref="C13" name="Interest and Salvage"/>
  </protectedRanges>
  <mergeCells count="7">
    <mergeCell ref="B30:G30"/>
    <mergeCell ref="B2:G2"/>
    <mergeCell ref="B18:G18"/>
    <mergeCell ref="B16:G16"/>
    <mergeCell ref="B17:G17"/>
    <mergeCell ref="B15:G15"/>
    <mergeCell ref="B20:G20"/>
  </mergeCells>
  <phoneticPr fontId="18"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130"/>
  <sheetViews>
    <sheetView workbookViewId="0">
      <selection activeCell="B2" sqref="B2:H2"/>
    </sheetView>
  </sheetViews>
  <sheetFormatPr defaultColWidth="9.109375" defaultRowHeight="13.8" x14ac:dyDescent="0.25"/>
  <cols>
    <col min="1" max="2" width="9.6640625" style="14" customWidth="1"/>
    <col min="3" max="3" width="53.109375" style="13" customWidth="1"/>
    <col min="4" max="4" width="12.109375" style="218" customWidth="1"/>
    <col min="5" max="6" width="12" style="218" customWidth="1"/>
    <col min="7" max="7" width="12.6640625" style="218" customWidth="1"/>
    <col min="8" max="8" width="14.44140625" style="218" customWidth="1"/>
    <col min="9" max="9" width="11.44140625" style="13" customWidth="1"/>
    <col min="10" max="16384" width="9.109375" style="14"/>
  </cols>
  <sheetData>
    <row r="2" spans="1:9" ht="43.5" customHeight="1" x14ac:dyDescent="0.25">
      <c r="B2" s="318" t="s">
        <v>459</v>
      </c>
      <c r="C2" s="318"/>
      <c r="D2" s="318"/>
      <c r="E2" s="318"/>
      <c r="F2" s="318"/>
      <c r="G2" s="318"/>
      <c r="H2" s="318"/>
    </row>
    <row r="3" spans="1:9" s="18" customFormat="1" ht="27.6" x14ac:dyDescent="0.25">
      <c r="B3" s="264" t="s">
        <v>460</v>
      </c>
      <c r="C3" s="265" t="s">
        <v>277</v>
      </c>
      <c r="D3" s="266" t="s">
        <v>26</v>
      </c>
      <c r="E3" s="266" t="s">
        <v>23</v>
      </c>
      <c r="F3" s="266" t="s">
        <v>27</v>
      </c>
      <c r="G3" s="266" t="s">
        <v>24</v>
      </c>
      <c r="H3" s="266" t="s">
        <v>28</v>
      </c>
      <c r="I3" s="13"/>
    </row>
    <row r="4" spans="1:9" ht="18.75" customHeight="1" x14ac:dyDescent="0.25">
      <c r="B4" s="13" t="s">
        <v>22</v>
      </c>
      <c r="C4" s="19" t="s">
        <v>461</v>
      </c>
      <c r="D4" s="274"/>
      <c r="E4" s="274"/>
      <c r="F4" s="271">
        <f>'App9. Data for tables'!$C$8</f>
        <v>20000</v>
      </c>
      <c r="G4" s="270">
        <f>'App9. Data for tables'!$C$77</f>
        <v>29</v>
      </c>
      <c r="H4" s="274">
        <f t="shared" ref="H4:H35" si="0">F4*G4</f>
        <v>580000</v>
      </c>
      <c r="I4" s="68"/>
    </row>
    <row r="5" spans="1:9" x14ac:dyDescent="0.25">
      <c r="A5" s="12"/>
      <c r="B5" s="13" t="s">
        <v>22</v>
      </c>
      <c r="C5" s="19" t="s">
        <v>462</v>
      </c>
      <c r="F5" s="271">
        <f>'App9. Data for tables'!$C$9</f>
        <v>12</v>
      </c>
      <c r="G5" s="270">
        <f>'App9. Data for tables'!$C$78</f>
        <v>28</v>
      </c>
      <c r="H5" s="274">
        <f t="shared" si="0"/>
        <v>336</v>
      </c>
    </row>
    <row r="6" spans="1:9" x14ac:dyDescent="0.25">
      <c r="A6" s="12"/>
      <c r="B6" s="13" t="s">
        <v>22</v>
      </c>
      <c r="C6" s="19" t="s">
        <v>463</v>
      </c>
      <c r="F6" s="271">
        <f>'App9. Data for tables'!$C$10</f>
        <v>1000</v>
      </c>
      <c r="G6" s="270">
        <f>'App9. Data for tables'!$C$78</f>
        <v>28</v>
      </c>
      <c r="H6" s="274">
        <f t="shared" si="0"/>
        <v>28000</v>
      </c>
    </row>
    <row r="7" spans="1:9" x14ac:dyDescent="0.25">
      <c r="A7" s="12"/>
      <c r="B7" s="13" t="s">
        <v>22</v>
      </c>
      <c r="C7" s="19" t="s">
        <v>464</v>
      </c>
      <c r="F7" s="271">
        <f>'App9. Data for tables'!$C$11</f>
        <v>180</v>
      </c>
      <c r="G7" s="270">
        <f>'App9. Data for tables'!$C$78</f>
        <v>28</v>
      </c>
      <c r="H7" s="274">
        <f t="shared" si="0"/>
        <v>5040</v>
      </c>
      <c r="I7" s="68"/>
    </row>
    <row r="8" spans="1:9" x14ac:dyDescent="0.25">
      <c r="A8" s="12"/>
      <c r="B8" s="13" t="s">
        <v>22</v>
      </c>
      <c r="C8" s="19" t="s">
        <v>465</v>
      </c>
      <c r="F8" s="271">
        <f>'App9. Data for tables'!$C$12+('App9. Data for tables'!$C$13*'App9. Data for tables'!$C$14)</f>
        <v>327.79</v>
      </c>
      <c r="G8" s="270">
        <f>'App9. Data for tables'!$C$78</f>
        <v>28</v>
      </c>
      <c r="H8" s="274">
        <f t="shared" si="0"/>
        <v>9178.1200000000008</v>
      </c>
    </row>
    <row r="9" spans="1:9" x14ac:dyDescent="0.25">
      <c r="B9" s="13" t="s">
        <v>22</v>
      </c>
      <c r="C9" s="19" t="s">
        <v>466</v>
      </c>
      <c r="D9" s="271">
        <f>'App9. Data for tables'!$C$17</f>
        <v>10.51</v>
      </c>
      <c r="E9" s="270">
        <f>'App9. Data for tables'!$C$79</f>
        <v>1815</v>
      </c>
      <c r="F9" s="274">
        <f>D9*E9</f>
        <v>19075.649999999998</v>
      </c>
      <c r="G9" s="270">
        <f>'App9. Data for tables'!$C$78</f>
        <v>28</v>
      </c>
      <c r="H9" s="274">
        <f t="shared" si="0"/>
        <v>534118.19999999995</v>
      </c>
    </row>
    <row r="10" spans="1:9" x14ac:dyDescent="0.25">
      <c r="B10" s="13" t="s">
        <v>22</v>
      </c>
      <c r="C10" s="19" t="s">
        <v>467</v>
      </c>
      <c r="D10" s="271">
        <f>'App9. Data for tables'!$C$18*'App9. Data for tables'!$C$19</f>
        <v>0.47500000000000003</v>
      </c>
      <c r="E10" s="270">
        <f>'App9. Data for tables'!$C$79</f>
        <v>1815</v>
      </c>
      <c r="F10" s="274">
        <f>D10*E10</f>
        <v>862.12500000000011</v>
      </c>
      <c r="G10" s="270">
        <f>'App9. Data for tables'!$C$78</f>
        <v>28</v>
      </c>
      <c r="H10" s="274">
        <f t="shared" si="0"/>
        <v>24139.500000000004</v>
      </c>
      <c r="I10" s="68"/>
    </row>
    <row r="11" spans="1:9" x14ac:dyDescent="0.25">
      <c r="B11" s="13" t="s">
        <v>22</v>
      </c>
      <c r="C11" s="32" t="s">
        <v>4</v>
      </c>
      <c r="D11" s="274"/>
      <c r="E11" s="274"/>
      <c r="F11" s="274">
        <f>'App9. Data for tables'!C20</f>
        <v>13000</v>
      </c>
      <c r="G11" s="270">
        <f>'App9. Data for tables'!$C$78</f>
        <v>28</v>
      </c>
      <c r="H11" s="274">
        <f t="shared" si="0"/>
        <v>364000</v>
      </c>
      <c r="I11" s="68"/>
    </row>
    <row r="12" spans="1:9" x14ac:dyDescent="0.25">
      <c r="B12" s="13" t="s">
        <v>22</v>
      </c>
      <c r="C12" s="19" t="s">
        <v>468</v>
      </c>
      <c r="D12" s="271"/>
      <c r="E12" s="54"/>
      <c r="F12" s="274">
        <f>'App9. Data for tables'!$C$23</f>
        <v>3800</v>
      </c>
      <c r="G12" s="270">
        <f>'App9. Data for tables'!$C$78</f>
        <v>28</v>
      </c>
      <c r="H12" s="274">
        <f t="shared" si="0"/>
        <v>106400</v>
      </c>
    </row>
    <row r="13" spans="1:9" x14ac:dyDescent="0.25">
      <c r="B13" s="13" t="s">
        <v>22</v>
      </c>
      <c r="C13" s="19" t="s">
        <v>469</v>
      </c>
      <c r="D13" s="271"/>
      <c r="E13" s="54"/>
      <c r="F13" s="274">
        <f>'App9. Data for tables'!$C$24</f>
        <v>1000</v>
      </c>
      <c r="G13" s="270">
        <f>'App9. Data for tables'!$C$78</f>
        <v>28</v>
      </c>
      <c r="H13" s="274">
        <f t="shared" si="0"/>
        <v>28000</v>
      </c>
      <c r="I13" s="68"/>
    </row>
    <row r="14" spans="1:9" x14ac:dyDescent="0.25">
      <c r="B14" s="13" t="s">
        <v>22</v>
      </c>
      <c r="C14" s="19" t="s">
        <v>59</v>
      </c>
      <c r="D14" s="274"/>
      <c r="E14" s="274"/>
      <c r="F14" s="274">
        <f>'App9. Data for tables'!$C$25+'App9. Data for tables'!$C$26</f>
        <v>900</v>
      </c>
      <c r="G14" s="270">
        <f>'App9. Data for tables'!$C$78</f>
        <v>28</v>
      </c>
      <c r="H14" s="274">
        <f t="shared" si="0"/>
        <v>25200</v>
      </c>
    </row>
    <row r="15" spans="1:9" ht="16.8" x14ac:dyDescent="0.25">
      <c r="B15" s="13" t="s">
        <v>22</v>
      </c>
      <c r="C15" s="19" t="s">
        <v>225</v>
      </c>
      <c r="D15" s="274"/>
      <c r="E15" s="274"/>
      <c r="F15" s="271">
        <f>'App9. Data for tables'!$C$27</f>
        <v>3000</v>
      </c>
      <c r="G15" s="270">
        <f>'App9. Data for tables'!$C$78</f>
        <v>28</v>
      </c>
      <c r="H15" s="274">
        <f t="shared" si="0"/>
        <v>84000</v>
      </c>
    </row>
    <row r="16" spans="1:9" ht="16.8" x14ac:dyDescent="0.25">
      <c r="B16" s="13" t="s">
        <v>22</v>
      </c>
      <c r="C16" s="13" t="s">
        <v>206</v>
      </c>
      <c r="D16" s="271"/>
      <c r="E16" s="270"/>
      <c r="F16" s="274">
        <f>('App9. Data for tables'!$C$28*'App9. Data for tables'!$C$29)+('App9. Data for tables'!$C$30*'App9. Data for tables'!$C$31)</f>
        <v>1733.75</v>
      </c>
      <c r="G16" s="270">
        <f>'App9. Data for tables'!$C$78</f>
        <v>28</v>
      </c>
      <c r="H16" s="274">
        <f t="shared" si="0"/>
        <v>48545</v>
      </c>
      <c r="I16" s="68"/>
    </row>
    <row r="17" spans="2:9" ht="16.8" x14ac:dyDescent="0.25">
      <c r="B17" s="13" t="s">
        <v>22</v>
      </c>
      <c r="C17" s="13" t="s">
        <v>249</v>
      </c>
      <c r="D17" s="275"/>
      <c r="E17" s="270"/>
      <c r="F17" s="274">
        <f>('App9. Data for tables'!$C$32*'App9. Data for tables'!$C$33)+('App9. Data for tables'!$C$34*'App9. Data for tables'!$C$35)</f>
        <v>0</v>
      </c>
      <c r="G17" s="270">
        <f>'App9. Data for tables'!$C$78</f>
        <v>28</v>
      </c>
      <c r="H17" s="274">
        <f t="shared" si="0"/>
        <v>0</v>
      </c>
      <c r="I17" s="15"/>
    </row>
    <row r="18" spans="2:9" ht="16.8" x14ac:dyDescent="0.25">
      <c r="B18" s="13" t="s">
        <v>22</v>
      </c>
      <c r="C18" s="13" t="s">
        <v>251</v>
      </c>
      <c r="D18" s="274"/>
      <c r="E18" s="274"/>
      <c r="F18" s="271">
        <f>'App9. Data for tables'!$C$36+('App9. Data for tables'!$C$37*'App9. Data for tables'!$C$38)</f>
        <v>277.95</v>
      </c>
      <c r="G18" s="270">
        <f>'App9. Data for tables'!$C$78</f>
        <v>28</v>
      </c>
      <c r="H18" s="274">
        <f t="shared" si="0"/>
        <v>7782.5999999999995</v>
      </c>
      <c r="I18" s="69"/>
    </row>
    <row r="19" spans="2:9" ht="16.8" x14ac:dyDescent="0.25">
      <c r="B19" s="13" t="s">
        <v>22</v>
      </c>
      <c r="C19" s="19" t="s">
        <v>470</v>
      </c>
      <c r="D19" s="274"/>
      <c r="E19" s="274"/>
      <c r="F19" s="271">
        <f>'App9. Data for tables'!$C$39</f>
        <v>90</v>
      </c>
      <c r="G19" s="270">
        <f>'App9. Data for tables'!$C$78</f>
        <v>28</v>
      </c>
      <c r="H19" s="274">
        <f t="shared" si="0"/>
        <v>2520</v>
      </c>
      <c r="I19" s="43"/>
    </row>
    <row r="20" spans="2:9" ht="16.8" x14ac:dyDescent="0.25">
      <c r="B20" s="13" t="s">
        <v>22</v>
      </c>
      <c r="C20" s="19" t="s">
        <v>471</v>
      </c>
      <c r="D20" s="274"/>
      <c r="E20" s="274"/>
      <c r="F20" s="271">
        <f>('App9. Data for tables'!$C$40*'App9. Data for tables'!$C$41)</f>
        <v>0</v>
      </c>
      <c r="G20" s="270">
        <f>'App9. Data for tables'!$C$78</f>
        <v>28</v>
      </c>
      <c r="H20" s="274">
        <f t="shared" si="0"/>
        <v>0</v>
      </c>
      <c r="I20" s="43"/>
    </row>
    <row r="21" spans="2:9" x14ac:dyDescent="0.25">
      <c r="B21" s="13" t="s">
        <v>22</v>
      </c>
      <c r="C21" s="19" t="s">
        <v>137</v>
      </c>
      <c r="D21" s="271"/>
      <c r="E21" s="54"/>
      <c r="F21" s="274">
        <f>'App9. Data for tables'!$C$42</f>
        <v>170</v>
      </c>
      <c r="G21" s="270">
        <f>'App9. Data for tables'!$C$78</f>
        <v>28</v>
      </c>
      <c r="H21" s="274">
        <f t="shared" si="0"/>
        <v>4760</v>
      </c>
      <c r="I21" s="69"/>
    </row>
    <row r="22" spans="2:9" x14ac:dyDescent="0.25">
      <c r="B22" s="13" t="s">
        <v>22</v>
      </c>
      <c r="C22" s="19" t="s">
        <v>12</v>
      </c>
      <c r="D22" s="274"/>
      <c r="E22" s="270"/>
      <c r="F22" s="271">
        <f>'App9. Data for tables'!$C$43</f>
        <v>180</v>
      </c>
      <c r="G22" s="270">
        <f>'App9. Data for tables'!$C$78</f>
        <v>28</v>
      </c>
      <c r="H22" s="274">
        <f t="shared" si="0"/>
        <v>5040</v>
      </c>
    </row>
    <row r="23" spans="2:9" ht="16.8" x14ac:dyDescent="0.25">
      <c r="B23" s="13" t="s">
        <v>22</v>
      </c>
      <c r="C23" s="19" t="s">
        <v>320</v>
      </c>
      <c r="D23" s="274"/>
      <c r="E23" s="270"/>
      <c r="F23" s="271">
        <f>('App9. Data for tables'!$C$44*'App9. Data for tables'!$C$45)</f>
        <v>361.27</v>
      </c>
      <c r="G23" s="270">
        <f>'App9. Data for tables'!$C$78</f>
        <v>28</v>
      </c>
      <c r="H23" s="274">
        <f t="shared" si="0"/>
        <v>10115.56</v>
      </c>
    </row>
    <row r="24" spans="2:9" ht="16.8" x14ac:dyDescent="0.25">
      <c r="B24" s="13" t="s">
        <v>22</v>
      </c>
      <c r="C24" s="19" t="s">
        <v>321</v>
      </c>
      <c r="D24" s="271"/>
      <c r="E24" s="271"/>
      <c r="F24" s="271">
        <f>'App9. Data for tables'!$C$48+('App9. Data for tables'!$C$49*'App9. Data for tables'!$C$50)</f>
        <v>4015.84</v>
      </c>
      <c r="G24" s="270">
        <f>'App9. Data for tables'!$C$78</f>
        <v>28</v>
      </c>
      <c r="H24" s="274">
        <f t="shared" si="0"/>
        <v>112443.52</v>
      </c>
    </row>
    <row r="25" spans="2:9" ht="16.8" x14ac:dyDescent="0.25">
      <c r="B25" s="13" t="s">
        <v>22</v>
      </c>
      <c r="C25" s="19" t="s">
        <v>254</v>
      </c>
      <c r="D25" s="274"/>
      <c r="E25" s="274"/>
      <c r="F25" s="271">
        <f>'App9. Data for tables'!$C$51*'App9. Data for tables'!$C$52</f>
        <v>9.9</v>
      </c>
      <c r="G25" s="270">
        <f>'App9. Data for tables'!$C$78</f>
        <v>28</v>
      </c>
      <c r="H25" s="274">
        <f t="shared" si="0"/>
        <v>277.2</v>
      </c>
    </row>
    <row r="26" spans="2:9" ht="16.8" x14ac:dyDescent="0.25">
      <c r="B26" s="13" t="s">
        <v>22</v>
      </c>
      <c r="C26" s="19" t="s">
        <v>322</v>
      </c>
      <c r="D26" s="274"/>
      <c r="E26" s="270"/>
      <c r="F26" s="271">
        <f>SUM('App9. Data for tables'!$C$53:$C$57)</f>
        <v>360</v>
      </c>
      <c r="G26" s="270">
        <f>'App9. Data for tables'!$C$78</f>
        <v>28</v>
      </c>
      <c r="H26" s="274">
        <f t="shared" si="0"/>
        <v>10080</v>
      </c>
    </row>
    <row r="27" spans="2:9" ht="16.8" x14ac:dyDescent="0.25">
      <c r="B27" s="13" t="s">
        <v>22</v>
      </c>
      <c r="C27" s="19" t="s">
        <v>323</v>
      </c>
      <c r="D27" s="274"/>
      <c r="E27" s="270"/>
      <c r="F27" s="271">
        <f>'App9. Data for tables'!$C$58</f>
        <v>270</v>
      </c>
      <c r="G27" s="270">
        <f>'App9. Data for tables'!$C$78</f>
        <v>28</v>
      </c>
      <c r="H27" s="274">
        <f t="shared" si="0"/>
        <v>7560</v>
      </c>
    </row>
    <row r="28" spans="2:9" ht="16.8" x14ac:dyDescent="0.25">
      <c r="B28" s="13" t="s">
        <v>22</v>
      </c>
      <c r="C28" s="19" t="s">
        <v>324</v>
      </c>
      <c r="D28" s="271"/>
      <c r="E28" s="54"/>
      <c r="F28" s="274">
        <f>'App9. Data for tables'!$C$68</f>
        <v>300</v>
      </c>
      <c r="G28" s="270">
        <f>'App9. Data for tables'!$C$78</f>
        <v>28</v>
      </c>
      <c r="H28" s="274">
        <f t="shared" si="0"/>
        <v>8400</v>
      </c>
      <c r="I28" s="69"/>
    </row>
    <row r="29" spans="2:9" x14ac:dyDescent="0.25">
      <c r="B29" s="13" t="s">
        <v>22</v>
      </c>
      <c r="C29" s="19" t="s">
        <v>112</v>
      </c>
      <c r="D29" s="274"/>
      <c r="E29" s="270"/>
      <c r="F29" s="271">
        <f>'App9. Data for tables'!$C$69</f>
        <v>190</v>
      </c>
      <c r="G29" s="270">
        <f>'App9. Data for tables'!$C$78</f>
        <v>28</v>
      </c>
      <c r="H29" s="274">
        <f t="shared" si="0"/>
        <v>5320</v>
      </c>
    </row>
    <row r="30" spans="2:9" x14ac:dyDescent="0.25">
      <c r="B30" s="13" t="s">
        <v>22</v>
      </c>
      <c r="C30" s="19" t="s">
        <v>51</v>
      </c>
      <c r="D30" s="274"/>
      <c r="E30" s="270"/>
      <c r="F30" s="271">
        <f>'App9. Data for tables'!$C$70</f>
        <v>200</v>
      </c>
      <c r="G30" s="270">
        <f>'App9. Data for tables'!$C$78</f>
        <v>28</v>
      </c>
      <c r="H30" s="274">
        <f t="shared" si="0"/>
        <v>5600</v>
      </c>
      <c r="I30" s="68"/>
    </row>
    <row r="31" spans="2:9" x14ac:dyDescent="0.25">
      <c r="B31" s="13" t="s">
        <v>22</v>
      </c>
      <c r="C31" s="19" t="s">
        <v>56</v>
      </c>
      <c r="D31" s="274"/>
      <c r="E31" s="270"/>
      <c r="F31" s="271">
        <f>'App9. Data for tables'!$C$71</f>
        <v>600</v>
      </c>
      <c r="G31" s="270">
        <f>'App9. Data for tables'!$C$78</f>
        <v>28</v>
      </c>
      <c r="H31" s="274">
        <f t="shared" si="0"/>
        <v>16800</v>
      </c>
    </row>
    <row r="32" spans="2:9" ht="16.8" x14ac:dyDescent="0.25">
      <c r="B32" s="13" t="s">
        <v>22</v>
      </c>
      <c r="C32" s="19" t="s">
        <v>325</v>
      </c>
      <c r="D32" s="274"/>
      <c r="E32" s="270"/>
      <c r="F32" s="271">
        <f>'App9. Data for tables'!$C$72</f>
        <v>750</v>
      </c>
      <c r="G32" s="270">
        <f>'App9. Data for tables'!$C$78</f>
        <v>28</v>
      </c>
      <c r="H32" s="274">
        <f t="shared" si="0"/>
        <v>21000</v>
      </c>
    </row>
    <row r="33" spans="2:17" ht="36" customHeight="1" x14ac:dyDescent="0.25">
      <c r="B33" s="18" t="s">
        <v>1</v>
      </c>
      <c r="C33" s="13" t="s">
        <v>206</v>
      </c>
      <c r="D33" s="216"/>
      <c r="E33" s="185"/>
      <c r="F33" s="267">
        <f>('App9. Data for tables'!$D$28*'App9. Data for tables'!$D$29)+('App9. Data for tables'!$D$30*'App9. Data for tables'!$D$31)</f>
        <v>1567.5</v>
      </c>
      <c r="G33" s="185">
        <f>'App9. Data for tables'!$D$78</f>
        <v>28</v>
      </c>
      <c r="H33" s="267">
        <f t="shared" si="0"/>
        <v>43890</v>
      </c>
      <c r="I33" s="267"/>
      <c r="J33" s="268"/>
      <c r="K33" s="116"/>
      <c r="L33" s="269"/>
      <c r="M33" s="268"/>
      <c r="N33" s="116"/>
      <c r="O33" s="269"/>
      <c r="P33" s="268"/>
      <c r="Q33" s="116"/>
    </row>
    <row r="34" spans="2:17" ht="16.8" x14ac:dyDescent="0.25">
      <c r="B34" s="18" t="s">
        <v>1</v>
      </c>
      <c r="C34" s="13" t="s">
        <v>249</v>
      </c>
      <c r="D34" s="275"/>
      <c r="E34" s="270"/>
      <c r="F34" s="274">
        <f>('App9. Data for tables'!$D$32*'App9. Data for tables'!$D$33)+('App9. Data for tables'!$D$34*'App9. Data for tables'!$D$35)</f>
        <v>0</v>
      </c>
      <c r="G34" s="185">
        <f>'App9. Data for tables'!$D$78</f>
        <v>28</v>
      </c>
      <c r="H34" s="267">
        <f t="shared" si="0"/>
        <v>0</v>
      </c>
      <c r="I34" s="15"/>
    </row>
    <row r="35" spans="2:17" ht="16.8" x14ac:dyDescent="0.25">
      <c r="B35" s="18" t="s">
        <v>1</v>
      </c>
      <c r="C35" s="13" t="s">
        <v>251</v>
      </c>
      <c r="D35" s="274"/>
      <c r="E35" s="274"/>
      <c r="F35" s="271">
        <f>'App9. Data for tables'!$D$36+('App9. Data for tables'!$D$37*'App9. Data for tables'!$D$38)</f>
        <v>748.06</v>
      </c>
      <c r="G35" s="185">
        <f>'App9. Data for tables'!$D$78</f>
        <v>28</v>
      </c>
      <c r="H35" s="267">
        <f t="shared" si="0"/>
        <v>20945.68</v>
      </c>
      <c r="I35" s="43"/>
      <c r="K35" s="25"/>
      <c r="N35" s="25"/>
      <c r="Q35" s="25"/>
    </row>
    <row r="36" spans="2:17" ht="16.8" x14ac:dyDescent="0.25">
      <c r="B36" s="18" t="s">
        <v>1</v>
      </c>
      <c r="C36" s="19" t="s">
        <v>470</v>
      </c>
      <c r="D36" s="274"/>
      <c r="E36" s="274"/>
      <c r="F36" s="271">
        <f>'App9. Data for tables'!$D$39</f>
        <v>90</v>
      </c>
      <c r="G36" s="185">
        <f>'App9. Data for tables'!$D$78</f>
        <v>28</v>
      </c>
      <c r="H36" s="267">
        <f t="shared" ref="H36:H67" si="1">F36*G36</f>
        <v>2520</v>
      </c>
      <c r="I36" s="43"/>
      <c r="K36" s="25"/>
      <c r="N36" s="25"/>
      <c r="Q36" s="25"/>
    </row>
    <row r="37" spans="2:17" ht="16.8" x14ac:dyDescent="0.25">
      <c r="B37" s="18" t="s">
        <v>1</v>
      </c>
      <c r="C37" s="19" t="s">
        <v>471</v>
      </c>
      <c r="D37" s="274"/>
      <c r="E37" s="274"/>
      <c r="F37" s="271">
        <f>('App9. Data for tables'!$D$40*'App9. Data for tables'!$D$41)</f>
        <v>0</v>
      </c>
      <c r="G37" s="185">
        <f>'App9. Data for tables'!$D$78</f>
        <v>28</v>
      </c>
      <c r="H37" s="267">
        <f t="shared" si="1"/>
        <v>0</v>
      </c>
      <c r="I37" s="43"/>
      <c r="K37" s="25"/>
      <c r="N37" s="25"/>
      <c r="Q37" s="25"/>
    </row>
    <row r="38" spans="2:17" x14ac:dyDescent="0.25">
      <c r="B38" s="18" t="s">
        <v>1</v>
      </c>
      <c r="C38" s="19" t="s">
        <v>137</v>
      </c>
      <c r="D38" s="271"/>
      <c r="E38" s="54"/>
      <c r="F38" s="274">
        <f>'App9. Data for tables'!$D$42</f>
        <v>170</v>
      </c>
      <c r="G38" s="185">
        <f>'App9. Data for tables'!$D$78</f>
        <v>28</v>
      </c>
      <c r="H38" s="267">
        <f t="shared" si="1"/>
        <v>4760</v>
      </c>
      <c r="O38" s="26"/>
      <c r="P38" s="27"/>
      <c r="Q38" s="23"/>
    </row>
    <row r="39" spans="2:17" x14ac:dyDescent="0.25">
      <c r="B39" s="18" t="s">
        <v>1</v>
      </c>
      <c r="C39" s="19" t="s">
        <v>12</v>
      </c>
      <c r="D39" s="274"/>
      <c r="E39" s="270"/>
      <c r="F39" s="271">
        <f>'App9. Data for tables'!$D$43</f>
        <v>180</v>
      </c>
      <c r="G39" s="185">
        <f>'App9. Data for tables'!$D$78</f>
        <v>28</v>
      </c>
      <c r="H39" s="267">
        <f t="shared" si="1"/>
        <v>5040</v>
      </c>
    </row>
    <row r="40" spans="2:17" ht="16.8" x14ac:dyDescent="0.25">
      <c r="B40" s="18" t="s">
        <v>1</v>
      </c>
      <c r="C40" s="19" t="s">
        <v>320</v>
      </c>
      <c r="D40" s="274"/>
      <c r="E40" s="270"/>
      <c r="F40" s="271">
        <f>('App9. Data for tables'!$D$44*'App9. Data for tables'!$D$45)</f>
        <v>361.27</v>
      </c>
      <c r="G40" s="185">
        <f>'App9. Data for tables'!$D$78</f>
        <v>28</v>
      </c>
      <c r="H40" s="267">
        <f t="shared" si="1"/>
        <v>10115.56</v>
      </c>
    </row>
    <row r="41" spans="2:17" ht="16.8" x14ac:dyDescent="0.25">
      <c r="B41" s="18" t="s">
        <v>1</v>
      </c>
      <c r="C41" s="19" t="s">
        <v>254</v>
      </c>
      <c r="D41" s="274"/>
      <c r="E41" s="274"/>
      <c r="F41" s="271">
        <f>'App9. Data for tables'!$D$51*'App9. Data for tables'!$D$52</f>
        <v>9.9</v>
      </c>
      <c r="G41" s="185">
        <f>'App9. Data for tables'!$D$78</f>
        <v>28</v>
      </c>
      <c r="H41" s="267">
        <f t="shared" si="1"/>
        <v>277.2</v>
      </c>
    </row>
    <row r="42" spans="2:17" ht="16.8" x14ac:dyDescent="0.25">
      <c r="B42" s="18" t="s">
        <v>1</v>
      </c>
      <c r="C42" s="19" t="s">
        <v>322</v>
      </c>
      <c r="D42" s="274"/>
      <c r="E42" s="270"/>
      <c r="F42" s="271">
        <f>SUM('App9. Data for tables'!$D$53:$D$57)</f>
        <v>360</v>
      </c>
      <c r="G42" s="185">
        <f>'App9. Data for tables'!$D$78</f>
        <v>28</v>
      </c>
      <c r="H42" s="267">
        <f t="shared" si="1"/>
        <v>10080</v>
      </c>
      <c r="Q42" s="25"/>
    </row>
    <row r="43" spans="2:17" ht="16.8" x14ac:dyDescent="0.25">
      <c r="B43" s="18" t="s">
        <v>1</v>
      </c>
      <c r="C43" s="19" t="s">
        <v>323</v>
      </c>
      <c r="D43" s="274"/>
      <c r="E43" s="270"/>
      <c r="F43" s="271">
        <f>'App9. Data for tables'!$D$58</f>
        <v>270</v>
      </c>
      <c r="G43" s="185">
        <f>'App9. Data for tables'!$D$78</f>
        <v>28</v>
      </c>
      <c r="H43" s="267">
        <f t="shared" si="1"/>
        <v>7560</v>
      </c>
      <c r="Q43" s="25"/>
    </row>
    <row r="44" spans="2:17" ht="16.8" x14ac:dyDescent="0.25">
      <c r="B44" s="18" t="s">
        <v>1</v>
      </c>
      <c r="C44" s="19" t="s">
        <v>324</v>
      </c>
      <c r="D44" s="271"/>
      <c r="E44" s="54"/>
      <c r="F44" s="274">
        <f>'App9. Data for tables'!$D$68</f>
        <v>300</v>
      </c>
      <c r="G44" s="185">
        <f>'App9. Data for tables'!$D$78</f>
        <v>28</v>
      </c>
      <c r="H44" s="267">
        <f t="shared" si="1"/>
        <v>8400</v>
      </c>
      <c r="O44" s="26"/>
      <c r="P44" s="27"/>
      <c r="Q44" s="23"/>
    </row>
    <row r="45" spans="2:17" x14ac:dyDescent="0.25">
      <c r="B45" s="18" t="s">
        <v>1</v>
      </c>
      <c r="C45" s="19" t="s">
        <v>112</v>
      </c>
      <c r="D45" s="274"/>
      <c r="E45" s="270"/>
      <c r="F45" s="271">
        <f>'App9. Data for tables'!$D$69</f>
        <v>190</v>
      </c>
      <c r="G45" s="185">
        <f>'App9. Data for tables'!$D$78</f>
        <v>28</v>
      </c>
      <c r="H45" s="267">
        <f t="shared" si="1"/>
        <v>5320</v>
      </c>
    </row>
    <row r="46" spans="2:17" x14ac:dyDescent="0.25">
      <c r="B46" s="18" t="s">
        <v>1</v>
      </c>
      <c r="C46" s="19" t="s">
        <v>51</v>
      </c>
      <c r="D46" s="274"/>
      <c r="E46" s="270"/>
      <c r="F46" s="271">
        <f>'App9. Data for tables'!$D$70</f>
        <v>200</v>
      </c>
      <c r="G46" s="185">
        <f>'App9. Data for tables'!$D$78</f>
        <v>28</v>
      </c>
      <c r="H46" s="267">
        <f t="shared" si="1"/>
        <v>5600</v>
      </c>
    </row>
    <row r="47" spans="2:17" x14ac:dyDescent="0.25">
      <c r="B47" s="18" t="s">
        <v>1</v>
      </c>
      <c r="C47" s="19" t="s">
        <v>56</v>
      </c>
      <c r="D47" s="274"/>
      <c r="E47" s="270"/>
      <c r="F47" s="271">
        <f>'App9. Data for tables'!$D$71</f>
        <v>600</v>
      </c>
      <c r="G47" s="185">
        <f>'App9. Data for tables'!$D$78</f>
        <v>28</v>
      </c>
      <c r="H47" s="267">
        <f t="shared" si="1"/>
        <v>16800</v>
      </c>
    </row>
    <row r="48" spans="2:17" ht="16.8" x14ac:dyDescent="0.25">
      <c r="B48" s="18" t="s">
        <v>1</v>
      </c>
      <c r="C48" s="19" t="s">
        <v>325</v>
      </c>
      <c r="D48" s="274"/>
      <c r="E48" s="270"/>
      <c r="F48" s="271">
        <f>'App9. Data for tables'!$C$72</f>
        <v>750</v>
      </c>
      <c r="G48" s="185">
        <f>'App9. Data for tables'!$D$78</f>
        <v>28</v>
      </c>
      <c r="H48" s="267">
        <f t="shared" si="1"/>
        <v>21000</v>
      </c>
    </row>
    <row r="49" spans="2:17" ht="36" customHeight="1" x14ac:dyDescent="0.25">
      <c r="B49" s="18" t="s">
        <v>2</v>
      </c>
      <c r="C49" s="19" t="s">
        <v>472</v>
      </c>
      <c r="D49" s="267"/>
      <c r="E49" s="267"/>
      <c r="F49" s="216">
        <f>'App9. Data for tables'!$E$21</f>
        <v>0</v>
      </c>
      <c r="G49" s="185">
        <f>'App9. Data for tables'!$E$78</f>
        <v>28</v>
      </c>
      <c r="H49" s="267">
        <f t="shared" si="1"/>
        <v>0</v>
      </c>
    </row>
    <row r="50" spans="2:17" x14ac:dyDescent="0.25">
      <c r="B50" s="18" t="s">
        <v>2</v>
      </c>
      <c r="C50" s="19" t="s">
        <v>473</v>
      </c>
      <c r="D50" s="274"/>
      <c r="E50" s="274"/>
      <c r="F50" s="271">
        <f>'App9. Data for tables'!$E$22</f>
        <v>0</v>
      </c>
      <c r="G50" s="270">
        <f>'App9. Data for tables'!$E$78</f>
        <v>28</v>
      </c>
      <c r="H50" s="274">
        <f t="shared" si="1"/>
        <v>0</v>
      </c>
    </row>
    <row r="51" spans="2:17" ht="16.8" x14ac:dyDescent="0.25">
      <c r="B51" s="18" t="s">
        <v>2</v>
      </c>
      <c r="C51" s="13" t="s">
        <v>206</v>
      </c>
      <c r="D51" s="271"/>
      <c r="E51" s="270"/>
      <c r="F51" s="274">
        <f>('App9. Data for tables'!$E$28*'App9. Data for tables'!$E$29)+('App9. Data for tables'!$E$30*'App9. Data for tables'!$E$31)</f>
        <v>1282.5</v>
      </c>
      <c r="G51" s="270">
        <f>'App9. Data for tables'!$E$78</f>
        <v>28</v>
      </c>
      <c r="H51" s="274">
        <f t="shared" si="1"/>
        <v>35910</v>
      </c>
      <c r="I51" s="15"/>
    </row>
    <row r="52" spans="2:17" ht="16.8" x14ac:dyDescent="0.25">
      <c r="B52" s="18" t="s">
        <v>2</v>
      </c>
      <c r="C52" s="13" t="s">
        <v>249</v>
      </c>
      <c r="D52" s="275"/>
      <c r="E52" s="270"/>
      <c r="F52" s="274">
        <f>('App9. Data for tables'!$E$32*'App9. Data for tables'!$E$33)+('App9. Data for tables'!$E$34*'App9. Data for tables'!$E$35)</f>
        <v>0</v>
      </c>
      <c r="G52" s="270">
        <f>'App9. Data for tables'!$E$78</f>
        <v>28</v>
      </c>
      <c r="H52" s="274">
        <f t="shared" si="1"/>
        <v>0</v>
      </c>
      <c r="I52" s="15"/>
    </row>
    <row r="53" spans="2:17" ht="16.8" x14ac:dyDescent="0.25">
      <c r="B53" s="18" t="s">
        <v>2</v>
      </c>
      <c r="C53" s="13" t="s">
        <v>251</v>
      </c>
      <c r="D53" s="274"/>
      <c r="E53" s="274"/>
      <c r="F53" s="271">
        <f>'App9. Data for tables'!$E$36+('App9. Data for tables'!$E$37*'App9. Data for tables'!$E$38)</f>
        <v>1874.8</v>
      </c>
      <c r="G53" s="270">
        <f>'App9. Data for tables'!$E$78</f>
        <v>28</v>
      </c>
      <c r="H53" s="274">
        <f t="shared" si="1"/>
        <v>52494.400000000001</v>
      </c>
    </row>
    <row r="54" spans="2:17" ht="16.8" x14ac:dyDescent="0.25">
      <c r="B54" s="18" t="s">
        <v>2</v>
      </c>
      <c r="C54" s="19" t="s">
        <v>470</v>
      </c>
      <c r="D54" s="274"/>
      <c r="E54" s="274"/>
      <c r="F54" s="271">
        <f>'App9. Data for tables'!$E$39</f>
        <v>226</v>
      </c>
      <c r="G54" s="270">
        <f>'App9. Data for tables'!$E$78</f>
        <v>28</v>
      </c>
      <c r="H54" s="274">
        <f t="shared" si="1"/>
        <v>6328</v>
      </c>
      <c r="I54" s="43"/>
      <c r="K54" s="25"/>
      <c r="N54" s="25"/>
      <c r="Q54" s="25"/>
    </row>
    <row r="55" spans="2:17" ht="16.8" x14ac:dyDescent="0.25">
      <c r="B55" s="18" t="s">
        <v>2</v>
      </c>
      <c r="C55" s="19" t="s">
        <v>471</v>
      </c>
      <c r="D55" s="274"/>
      <c r="E55" s="274"/>
      <c r="F55" s="271">
        <f>('App9. Data for tables'!$E$40*'App9. Data for tables'!$E$41)</f>
        <v>49.5</v>
      </c>
      <c r="G55" s="270">
        <f>'App9. Data for tables'!$E$78</f>
        <v>28</v>
      </c>
      <c r="H55" s="274">
        <f t="shared" si="1"/>
        <v>1386</v>
      </c>
      <c r="I55" s="43"/>
      <c r="K55" s="25"/>
      <c r="N55" s="25"/>
      <c r="Q55" s="25"/>
    </row>
    <row r="56" spans="2:17" x14ac:dyDescent="0.25">
      <c r="B56" s="18" t="s">
        <v>2</v>
      </c>
      <c r="C56" s="19" t="s">
        <v>137</v>
      </c>
      <c r="D56" s="271"/>
      <c r="E56" s="54"/>
      <c r="F56" s="274">
        <f>'App9. Data for tables'!$E$42</f>
        <v>170</v>
      </c>
      <c r="G56" s="270">
        <f>'App9. Data for tables'!$E$78</f>
        <v>28</v>
      </c>
      <c r="H56" s="274">
        <f t="shared" si="1"/>
        <v>4760</v>
      </c>
    </row>
    <row r="57" spans="2:17" x14ac:dyDescent="0.25">
      <c r="B57" s="18" t="s">
        <v>2</v>
      </c>
      <c r="C57" s="19" t="s">
        <v>12</v>
      </c>
      <c r="D57" s="274"/>
      <c r="E57" s="274"/>
      <c r="F57" s="271">
        <f>'App9. Data for tables'!$E$43</f>
        <v>180</v>
      </c>
      <c r="G57" s="270">
        <f>'App9. Data for tables'!$E$78</f>
        <v>28</v>
      </c>
      <c r="H57" s="274">
        <f t="shared" si="1"/>
        <v>5040</v>
      </c>
    </row>
    <row r="58" spans="2:17" ht="16.8" x14ac:dyDescent="0.25">
      <c r="B58" s="18" t="s">
        <v>2</v>
      </c>
      <c r="C58" s="19" t="s">
        <v>326</v>
      </c>
      <c r="D58" s="274"/>
      <c r="E58" s="274"/>
      <c r="F58" s="271">
        <f>('App9. Data for tables'!$E$44*'App9. Data for tables'!$E$45)</f>
        <v>361.27</v>
      </c>
      <c r="G58" s="270">
        <f>'App9. Data for tables'!$E$78</f>
        <v>28</v>
      </c>
      <c r="H58" s="274">
        <f t="shared" si="1"/>
        <v>10115.56</v>
      </c>
    </row>
    <row r="59" spans="2:17" x14ac:dyDescent="0.25">
      <c r="B59" s="18" t="s">
        <v>2</v>
      </c>
      <c r="C59" s="13" t="s">
        <v>10</v>
      </c>
      <c r="D59" s="271"/>
      <c r="E59" s="54"/>
      <c r="F59" s="274">
        <f>'App9. Data for tables'!$E$46*'App9. Data for tables'!$E$47</f>
        <v>65</v>
      </c>
      <c r="G59" s="270">
        <f>'App9. Data for tables'!$E$78</f>
        <v>28</v>
      </c>
      <c r="H59" s="274">
        <f t="shared" si="1"/>
        <v>1820</v>
      </c>
      <c r="I59" s="68"/>
    </row>
    <row r="60" spans="2:17" ht="16.8" x14ac:dyDescent="0.25">
      <c r="B60" s="18" t="s">
        <v>2</v>
      </c>
      <c r="C60" s="19" t="s">
        <v>254</v>
      </c>
      <c r="D60" s="274"/>
      <c r="E60" s="274"/>
      <c r="F60" s="271">
        <f>('App9. Data for tables'!$E$51*'App9. Data for tables'!$E$52)</f>
        <v>9.9</v>
      </c>
      <c r="G60" s="270">
        <f>'App9. Data for tables'!$E$78</f>
        <v>28</v>
      </c>
      <c r="H60" s="274">
        <f t="shared" si="1"/>
        <v>277.2</v>
      </c>
    </row>
    <row r="61" spans="2:17" ht="16.8" x14ac:dyDescent="0.25">
      <c r="B61" s="18" t="s">
        <v>2</v>
      </c>
      <c r="C61" s="19" t="s">
        <v>322</v>
      </c>
      <c r="D61" s="274"/>
      <c r="E61" s="274"/>
      <c r="F61" s="271">
        <f>SUM('App9. Data for tables'!$E$53:$E$57)</f>
        <v>360</v>
      </c>
      <c r="G61" s="270">
        <f>'App9. Data for tables'!$E$78</f>
        <v>28</v>
      </c>
      <c r="H61" s="274">
        <f t="shared" si="1"/>
        <v>10080</v>
      </c>
    </row>
    <row r="62" spans="2:17" ht="16.8" x14ac:dyDescent="0.25">
      <c r="B62" s="18" t="s">
        <v>2</v>
      </c>
      <c r="C62" s="19" t="s">
        <v>323</v>
      </c>
      <c r="D62" s="274"/>
      <c r="E62" s="274"/>
      <c r="F62" s="271">
        <f>'App9. Data for tables'!$E$58</f>
        <v>270</v>
      </c>
      <c r="G62" s="270">
        <f>'App9. Data for tables'!$E$78</f>
        <v>28</v>
      </c>
      <c r="H62" s="274">
        <f t="shared" si="1"/>
        <v>7560</v>
      </c>
    </row>
    <row r="63" spans="2:17" ht="16.8" x14ac:dyDescent="0.25">
      <c r="B63" s="18" t="s">
        <v>2</v>
      </c>
      <c r="C63" s="19" t="s">
        <v>324</v>
      </c>
      <c r="D63" s="271"/>
      <c r="E63" s="54"/>
      <c r="F63" s="274">
        <f>'App9. Data for tables'!$E$68</f>
        <v>300</v>
      </c>
      <c r="G63" s="270">
        <f>'App9. Data for tables'!$E$78</f>
        <v>28</v>
      </c>
      <c r="H63" s="274">
        <f t="shared" si="1"/>
        <v>8400</v>
      </c>
    </row>
    <row r="64" spans="2:17" x14ac:dyDescent="0.25">
      <c r="B64" s="18" t="s">
        <v>2</v>
      </c>
      <c r="C64" s="19" t="s">
        <v>112</v>
      </c>
      <c r="D64" s="274"/>
      <c r="E64" s="270"/>
      <c r="F64" s="271">
        <f>'App9. Data for tables'!$E$69</f>
        <v>190</v>
      </c>
      <c r="G64" s="270">
        <f>'App9. Data for tables'!$E$78</f>
        <v>28</v>
      </c>
      <c r="H64" s="274">
        <f t="shared" si="1"/>
        <v>5320</v>
      </c>
    </row>
    <row r="65" spans="2:17" x14ac:dyDescent="0.25">
      <c r="B65" s="18" t="s">
        <v>2</v>
      </c>
      <c r="C65" s="19" t="s">
        <v>51</v>
      </c>
      <c r="D65" s="274"/>
      <c r="E65" s="274"/>
      <c r="F65" s="271">
        <f>'App9. Data for tables'!$E$70</f>
        <v>200</v>
      </c>
      <c r="G65" s="270">
        <f>'App9. Data for tables'!$E$78</f>
        <v>28</v>
      </c>
      <c r="H65" s="274">
        <f t="shared" si="1"/>
        <v>5600</v>
      </c>
    </row>
    <row r="66" spans="2:17" x14ac:dyDescent="0.25">
      <c r="B66" s="18" t="s">
        <v>2</v>
      </c>
      <c r="C66" s="19" t="s">
        <v>56</v>
      </c>
      <c r="D66" s="274"/>
      <c r="E66" s="274"/>
      <c r="F66" s="271">
        <f>'App9. Data for tables'!$E$71</f>
        <v>600</v>
      </c>
      <c r="G66" s="270">
        <f>'App9. Data for tables'!$E$78</f>
        <v>28</v>
      </c>
      <c r="H66" s="274">
        <f t="shared" si="1"/>
        <v>16800</v>
      </c>
    </row>
    <row r="67" spans="2:17" ht="16.8" x14ac:dyDescent="0.25">
      <c r="B67" s="18" t="s">
        <v>2</v>
      </c>
      <c r="C67" s="19" t="s">
        <v>325</v>
      </c>
      <c r="D67" s="274"/>
      <c r="E67" s="274"/>
      <c r="F67" s="271">
        <f>'App9. Data for tables'!$E$72</f>
        <v>750</v>
      </c>
      <c r="G67" s="270">
        <f>'App9. Data for tables'!$E$78</f>
        <v>28</v>
      </c>
      <c r="H67" s="274">
        <f t="shared" si="1"/>
        <v>21000</v>
      </c>
    </row>
    <row r="68" spans="2:17" x14ac:dyDescent="0.25">
      <c r="B68" s="18" t="s">
        <v>2</v>
      </c>
      <c r="C68" s="19" t="s">
        <v>474</v>
      </c>
      <c r="D68" s="271">
        <f>'App9. Data for tables'!$E$59</f>
        <v>37</v>
      </c>
      <c r="E68" s="54">
        <f>'App9. Data for tables'!$E$7</f>
        <v>43</v>
      </c>
      <c r="F68" s="274">
        <f>D68*E68</f>
        <v>1591</v>
      </c>
      <c r="G68" s="270">
        <f>'App9. Data for tables'!$E$78</f>
        <v>28</v>
      </c>
      <c r="H68" s="274">
        <f t="shared" ref="H68:H94" si="2">F68*G68</f>
        <v>44548</v>
      </c>
    </row>
    <row r="69" spans="2:17" x14ac:dyDescent="0.25">
      <c r="B69" s="18" t="s">
        <v>2</v>
      </c>
      <c r="C69" s="19" t="s">
        <v>475</v>
      </c>
      <c r="D69" s="271">
        <f>'App9. Data for tables'!$E$60</f>
        <v>11</v>
      </c>
      <c r="E69" s="54">
        <f>'App9. Data for tables'!$E$7</f>
        <v>43</v>
      </c>
      <c r="F69" s="274">
        <f>D69*E69</f>
        <v>473</v>
      </c>
      <c r="G69" s="270">
        <f>'App9. Data for tables'!$E$78</f>
        <v>28</v>
      </c>
      <c r="H69" s="274">
        <f t="shared" si="2"/>
        <v>13244</v>
      </c>
    </row>
    <row r="70" spans="2:17" x14ac:dyDescent="0.25">
      <c r="B70" s="18" t="s">
        <v>2</v>
      </c>
      <c r="C70" s="19" t="s">
        <v>476</v>
      </c>
      <c r="D70" s="271">
        <f>'App9. Data for tables'!$E$61</f>
        <v>11</v>
      </c>
      <c r="E70" s="54">
        <f>'App9. Data for tables'!$E$7</f>
        <v>43</v>
      </c>
      <c r="F70" s="274">
        <f>D70*E70</f>
        <v>473</v>
      </c>
      <c r="G70" s="270">
        <f>'App9. Data for tables'!$E$78</f>
        <v>28</v>
      </c>
      <c r="H70" s="274">
        <f t="shared" si="2"/>
        <v>13244</v>
      </c>
    </row>
    <row r="71" spans="2:17" x14ac:dyDescent="0.25">
      <c r="B71" s="18" t="s">
        <v>2</v>
      </c>
      <c r="C71" s="13" t="s">
        <v>62</v>
      </c>
      <c r="D71" s="271">
        <f>'App9. Data for tables'!$E$67</f>
        <v>252</v>
      </c>
      <c r="E71" s="54">
        <f>'App9. Data for tables'!$E$7</f>
        <v>43</v>
      </c>
      <c r="F71" s="274">
        <f>D71*E71</f>
        <v>10836</v>
      </c>
      <c r="G71" s="270">
        <f>'App9. Data for tables'!$E$78</f>
        <v>28</v>
      </c>
      <c r="H71" s="274">
        <f t="shared" si="2"/>
        <v>303408</v>
      </c>
    </row>
    <row r="72" spans="2:17" ht="36" customHeight="1" x14ac:dyDescent="0.25">
      <c r="B72" s="18" t="s">
        <v>3</v>
      </c>
      <c r="C72" s="19" t="s">
        <v>473</v>
      </c>
      <c r="D72" s="267"/>
      <c r="E72" s="267"/>
      <c r="F72" s="216">
        <f>'App9. Data for tables'!$F$22</f>
        <v>0</v>
      </c>
      <c r="G72" s="185">
        <f>'App9. Data for tables'!$F$78</f>
        <v>28</v>
      </c>
      <c r="H72" s="267">
        <f t="shared" si="2"/>
        <v>0</v>
      </c>
    </row>
    <row r="73" spans="2:17" ht="16.8" x14ac:dyDescent="0.25">
      <c r="B73" s="18" t="s">
        <v>3</v>
      </c>
      <c r="C73" s="13" t="s">
        <v>206</v>
      </c>
      <c r="D73" s="271"/>
      <c r="E73" s="270"/>
      <c r="F73" s="274">
        <f>('App9. Data for tables'!$F$28*'App9. Data for tables'!$F$29)+('App9. Data for tables'!$F$30*'App9. Data for tables'!$F$31)</f>
        <v>688.75</v>
      </c>
      <c r="G73" s="270">
        <f>'App9. Data for tables'!$F$78</f>
        <v>28</v>
      </c>
      <c r="H73" s="267">
        <f t="shared" si="2"/>
        <v>19285</v>
      </c>
    </row>
    <row r="74" spans="2:17" ht="16.8" x14ac:dyDescent="0.25">
      <c r="B74" s="18" t="s">
        <v>3</v>
      </c>
      <c r="C74" s="13" t="s">
        <v>249</v>
      </c>
      <c r="D74" s="271"/>
      <c r="E74" s="270"/>
      <c r="F74" s="274">
        <f>('App9. Data for tables'!$F$32*'App9. Data for tables'!$F$33)+('App9. Data for tables'!$F$34*'App9. Data for tables'!$F$35)</f>
        <v>0</v>
      </c>
      <c r="G74" s="270">
        <f>'App9. Data for tables'!$F$78</f>
        <v>28</v>
      </c>
      <c r="H74" s="267">
        <f t="shared" si="2"/>
        <v>0</v>
      </c>
      <c r="J74" s="18"/>
    </row>
    <row r="75" spans="2:17" ht="16.8" x14ac:dyDescent="0.25">
      <c r="B75" s="18" t="s">
        <v>3</v>
      </c>
      <c r="C75" s="13" t="s">
        <v>251</v>
      </c>
      <c r="D75" s="274"/>
      <c r="E75" s="274"/>
      <c r="F75" s="271">
        <f>'App9. Data for tables'!$F$36+('App9. Data for tables'!$F$37*'App9. Data for tables'!$F$38)</f>
        <v>1874.8</v>
      </c>
      <c r="G75" s="270">
        <f>'App9. Data for tables'!$F$78</f>
        <v>28</v>
      </c>
      <c r="H75" s="267">
        <f t="shared" si="2"/>
        <v>52494.400000000001</v>
      </c>
      <c r="I75" s="68"/>
    </row>
    <row r="76" spans="2:17" ht="16.8" x14ac:dyDescent="0.25">
      <c r="B76" s="18" t="s">
        <v>3</v>
      </c>
      <c r="C76" s="19" t="s">
        <v>470</v>
      </c>
      <c r="D76" s="274"/>
      <c r="E76" s="274"/>
      <c r="F76" s="271">
        <f>'App9. Data for tables'!$F$39</f>
        <v>226</v>
      </c>
      <c r="G76" s="270">
        <f>'App9. Data for tables'!$F$78</f>
        <v>28</v>
      </c>
      <c r="H76" s="267">
        <f t="shared" si="2"/>
        <v>6328</v>
      </c>
      <c r="I76" s="43"/>
      <c r="K76" s="25"/>
      <c r="N76" s="25"/>
      <c r="Q76" s="25"/>
    </row>
    <row r="77" spans="2:17" ht="16.8" x14ac:dyDescent="0.25">
      <c r="B77" s="18" t="s">
        <v>3</v>
      </c>
      <c r="C77" s="19" t="s">
        <v>471</v>
      </c>
      <c r="D77" s="274"/>
      <c r="E77" s="274"/>
      <c r="F77" s="271">
        <f>('App9. Data for tables'!$F$40*'App9. Data for tables'!$F$41)</f>
        <v>49.5</v>
      </c>
      <c r="G77" s="270">
        <f>'App9. Data for tables'!$F$78</f>
        <v>28</v>
      </c>
      <c r="H77" s="267">
        <f t="shared" si="2"/>
        <v>1386</v>
      </c>
      <c r="I77" s="43"/>
      <c r="K77" s="25"/>
      <c r="N77" s="25"/>
      <c r="Q77" s="25"/>
    </row>
    <row r="78" spans="2:17" x14ac:dyDescent="0.25">
      <c r="B78" s="18" t="s">
        <v>3</v>
      </c>
      <c r="C78" s="19" t="s">
        <v>137</v>
      </c>
      <c r="D78" s="271"/>
      <c r="E78" s="54"/>
      <c r="F78" s="274">
        <f>'App9. Data for tables'!$F$42</f>
        <v>170</v>
      </c>
      <c r="G78" s="270">
        <f>'App9. Data for tables'!$F$78</f>
        <v>28</v>
      </c>
      <c r="H78" s="267">
        <f t="shared" si="2"/>
        <v>4760</v>
      </c>
      <c r="I78" s="68"/>
    </row>
    <row r="79" spans="2:17" x14ac:dyDescent="0.25">
      <c r="B79" s="18" t="s">
        <v>3</v>
      </c>
      <c r="C79" s="19" t="s">
        <v>12</v>
      </c>
      <c r="D79" s="274"/>
      <c r="E79" s="274"/>
      <c r="F79" s="271">
        <f>'App9. Data for tables'!$F$43</f>
        <v>195</v>
      </c>
      <c r="G79" s="270">
        <f>'App9. Data for tables'!$F$78</f>
        <v>28</v>
      </c>
      <c r="H79" s="267">
        <f t="shared" si="2"/>
        <v>5460</v>
      </c>
    </row>
    <row r="80" spans="2:17" ht="16.8" x14ac:dyDescent="0.25">
      <c r="B80" s="18" t="s">
        <v>3</v>
      </c>
      <c r="C80" s="19" t="s">
        <v>320</v>
      </c>
      <c r="D80" s="274"/>
      <c r="E80" s="274"/>
      <c r="F80" s="271">
        <f>('App9. Data for tables'!$F$44*'App9. Data for tables'!$F$45)</f>
        <v>361.27</v>
      </c>
      <c r="G80" s="270">
        <f>'App9. Data for tables'!$F$78</f>
        <v>28</v>
      </c>
      <c r="H80" s="267">
        <f t="shared" si="2"/>
        <v>10115.56</v>
      </c>
    </row>
    <row r="81" spans="2:9" x14ac:dyDescent="0.25">
      <c r="B81" s="18" t="s">
        <v>3</v>
      </c>
      <c r="C81" s="13" t="s">
        <v>10</v>
      </c>
      <c r="D81" s="271"/>
      <c r="E81" s="54"/>
      <c r="F81" s="274">
        <f>'App9. Data for tables'!$F$46*'App9. Data for tables'!$F$47</f>
        <v>65</v>
      </c>
      <c r="G81" s="270">
        <f>'App9. Data for tables'!$F$78</f>
        <v>28</v>
      </c>
      <c r="H81" s="267">
        <f t="shared" si="2"/>
        <v>1820</v>
      </c>
    </row>
    <row r="82" spans="2:9" ht="16.8" x14ac:dyDescent="0.25">
      <c r="B82" s="18" t="s">
        <v>3</v>
      </c>
      <c r="C82" s="19" t="s">
        <v>254</v>
      </c>
      <c r="D82" s="274"/>
      <c r="E82" s="274"/>
      <c r="F82" s="271">
        <f>('App9. Data for tables'!$F$51*'App9. Data for tables'!$F$52)</f>
        <v>9.9</v>
      </c>
      <c r="G82" s="270">
        <f>'App9. Data for tables'!$F$78</f>
        <v>28</v>
      </c>
      <c r="H82" s="267">
        <f t="shared" si="2"/>
        <v>277.2</v>
      </c>
    </row>
    <row r="83" spans="2:9" ht="16.8" x14ac:dyDescent="0.25">
      <c r="B83" s="18" t="s">
        <v>3</v>
      </c>
      <c r="C83" s="19" t="s">
        <v>322</v>
      </c>
      <c r="D83" s="274"/>
      <c r="E83" s="274"/>
      <c r="F83" s="271">
        <f>SUM('App9. Data for tables'!$F$53:$F$57)</f>
        <v>425</v>
      </c>
      <c r="G83" s="270">
        <f>'App9. Data for tables'!$F$78</f>
        <v>28</v>
      </c>
      <c r="H83" s="267">
        <f t="shared" si="2"/>
        <v>11900</v>
      </c>
    </row>
    <row r="84" spans="2:9" ht="16.8" x14ac:dyDescent="0.25">
      <c r="B84" s="18" t="s">
        <v>3</v>
      </c>
      <c r="C84" s="19" t="s">
        <v>323</v>
      </c>
      <c r="D84" s="274"/>
      <c r="E84" s="274"/>
      <c r="F84" s="271">
        <f>'App9. Data for tables'!$F$58</f>
        <v>270</v>
      </c>
      <c r="G84" s="270">
        <f>'App9. Data for tables'!$F$78</f>
        <v>28</v>
      </c>
      <c r="H84" s="267">
        <f t="shared" si="2"/>
        <v>7560</v>
      </c>
    </row>
    <row r="85" spans="2:9" ht="16.8" x14ac:dyDescent="0.25">
      <c r="B85" s="18" t="s">
        <v>3</v>
      </c>
      <c r="C85" s="19" t="s">
        <v>324</v>
      </c>
      <c r="D85" s="271"/>
      <c r="E85" s="54"/>
      <c r="F85" s="274">
        <f>'App9. Data for tables'!$F$68</f>
        <v>300</v>
      </c>
      <c r="G85" s="270">
        <f>'App9. Data for tables'!$F$78</f>
        <v>28</v>
      </c>
      <c r="H85" s="267">
        <f t="shared" si="2"/>
        <v>8400</v>
      </c>
      <c r="I85" s="68"/>
    </row>
    <row r="86" spans="2:9" x14ac:dyDescent="0.25">
      <c r="B86" s="18" t="s">
        <v>3</v>
      </c>
      <c r="C86" s="19" t="s">
        <v>112</v>
      </c>
      <c r="D86" s="274"/>
      <c r="E86" s="270"/>
      <c r="F86" s="271">
        <f>'App9. Data for tables'!$F$69</f>
        <v>190</v>
      </c>
      <c r="G86" s="270">
        <f>'App9. Data for tables'!$F$78</f>
        <v>28</v>
      </c>
      <c r="H86" s="267">
        <f t="shared" si="2"/>
        <v>5320</v>
      </c>
    </row>
    <row r="87" spans="2:9" x14ac:dyDescent="0.25">
      <c r="B87" s="18" t="s">
        <v>3</v>
      </c>
      <c r="C87" s="19" t="s">
        <v>51</v>
      </c>
      <c r="D87" s="274"/>
      <c r="E87" s="274"/>
      <c r="F87" s="271">
        <f>'App9. Data for tables'!$F$70</f>
        <v>200</v>
      </c>
      <c r="G87" s="270">
        <f>'App9. Data for tables'!$F$78</f>
        <v>28</v>
      </c>
      <c r="H87" s="267">
        <f t="shared" si="2"/>
        <v>5600</v>
      </c>
    </row>
    <row r="88" spans="2:9" x14ac:dyDescent="0.25">
      <c r="B88" s="18" t="s">
        <v>3</v>
      </c>
      <c r="C88" s="19" t="s">
        <v>56</v>
      </c>
      <c r="D88" s="274"/>
      <c r="E88" s="274"/>
      <c r="F88" s="271">
        <f>'App9. Data for tables'!$F$71</f>
        <v>600</v>
      </c>
      <c r="G88" s="270">
        <f>'App9. Data for tables'!$F$78</f>
        <v>28</v>
      </c>
      <c r="H88" s="267">
        <f t="shared" si="2"/>
        <v>16800</v>
      </c>
    </row>
    <row r="89" spans="2:9" ht="16.8" x14ac:dyDescent="0.25">
      <c r="B89" s="18" t="s">
        <v>3</v>
      </c>
      <c r="C89" s="19" t="s">
        <v>325</v>
      </c>
      <c r="D89" s="274"/>
      <c r="E89" s="274"/>
      <c r="F89" s="271">
        <f>'App9. Data for tables'!$F$72</f>
        <v>750</v>
      </c>
      <c r="G89" s="270">
        <f>'App9. Data for tables'!$F$78</f>
        <v>28</v>
      </c>
      <c r="H89" s="267">
        <f t="shared" si="2"/>
        <v>21000</v>
      </c>
    </row>
    <row r="90" spans="2:9" x14ac:dyDescent="0.25">
      <c r="B90" s="18" t="s">
        <v>3</v>
      </c>
      <c r="C90" s="19" t="s">
        <v>474</v>
      </c>
      <c r="D90" s="271">
        <f>'App9. Data for tables'!$F$59</f>
        <v>37</v>
      </c>
      <c r="E90" s="54">
        <f>'App9. Data for tables'!$F$7</f>
        <v>62</v>
      </c>
      <c r="F90" s="274">
        <f>D90*E90</f>
        <v>2294</v>
      </c>
      <c r="G90" s="270">
        <f>'App9. Data for tables'!$F$78</f>
        <v>28</v>
      </c>
      <c r="H90" s="267">
        <f t="shared" si="2"/>
        <v>64232</v>
      </c>
    </row>
    <row r="91" spans="2:9" x14ac:dyDescent="0.25">
      <c r="B91" s="18" t="s">
        <v>3</v>
      </c>
      <c r="C91" s="19" t="s">
        <v>475</v>
      </c>
      <c r="D91" s="271">
        <f>'App9. Data for tables'!$F$60</f>
        <v>11</v>
      </c>
      <c r="E91" s="54">
        <f>'App9. Data for tables'!$F$7</f>
        <v>62</v>
      </c>
      <c r="F91" s="274">
        <f>D91*E91</f>
        <v>682</v>
      </c>
      <c r="G91" s="270">
        <f>'App9. Data for tables'!$F$78</f>
        <v>28</v>
      </c>
      <c r="H91" s="267">
        <f t="shared" si="2"/>
        <v>19096</v>
      </c>
    </row>
    <row r="92" spans="2:9" x14ac:dyDescent="0.25">
      <c r="B92" s="18" t="s">
        <v>3</v>
      </c>
      <c r="C92" s="19" t="s">
        <v>476</v>
      </c>
      <c r="D92" s="271">
        <f>'App9. Data for tables'!$F$61</f>
        <v>11</v>
      </c>
      <c r="E92" s="54">
        <f>'App9. Data for tables'!$F$7</f>
        <v>62</v>
      </c>
      <c r="F92" s="274">
        <f>D92*E92</f>
        <v>682</v>
      </c>
      <c r="G92" s="270">
        <f>'App9. Data for tables'!$F$78</f>
        <v>28</v>
      </c>
      <c r="H92" s="267">
        <f t="shared" si="2"/>
        <v>19096</v>
      </c>
    </row>
    <row r="93" spans="2:9" x14ac:dyDescent="0.25">
      <c r="B93" s="18" t="s">
        <v>3</v>
      </c>
      <c r="C93" s="13" t="s">
        <v>62</v>
      </c>
      <c r="D93" s="271">
        <f>'App9. Data for tables'!$F$67</f>
        <v>252</v>
      </c>
      <c r="E93" s="54">
        <f>'App9. Data for tables'!$F$7</f>
        <v>62</v>
      </c>
      <c r="F93" s="274">
        <f>D93*E93</f>
        <v>15624</v>
      </c>
      <c r="G93" s="270">
        <f>'App9. Data for tables'!$F$78</f>
        <v>28</v>
      </c>
      <c r="H93" s="267">
        <f t="shared" si="2"/>
        <v>437472</v>
      </c>
    </row>
    <row r="94" spans="2:9" ht="36" customHeight="1" x14ac:dyDescent="0.25">
      <c r="B94" s="18" t="s">
        <v>21</v>
      </c>
      <c r="C94" s="19" t="s">
        <v>473</v>
      </c>
      <c r="D94" s="267"/>
      <c r="E94" s="267"/>
      <c r="F94" s="216">
        <f>'App9. Data for tables'!$G$22</f>
        <v>0</v>
      </c>
      <c r="G94" s="185">
        <f>'App9. Data for tables'!$G$78</f>
        <v>28</v>
      </c>
      <c r="H94" s="267">
        <f t="shared" si="2"/>
        <v>0</v>
      </c>
    </row>
    <row r="95" spans="2:9" ht="16.8" x14ac:dyDescent="0.25">
      <c r="B95" s="18" t="s">
        <v>21</v>
      </c>
      <c r="C95" s="13" t="s">
        <v>206</v>
      </c>
      <c r="D95" s="271"/>
      <c r="E95" s="270"/>
      <c r="F95" s="274">
        <f>('App9. Data for tables'!$G$28*'App9. Data for tables'!$G$29)+('App9. Data for tables'!$G$30*'App9. Data for tables'!$G$31)</f>
        <v>1021.25</v>
      </c>
      <c r="G95" s="270">
        <f>'App9. Data for tables'!$G$78</f>
        <v>28</v>
      </c>
      <c r="H95" s="267">
        <f t="shared" ref="H95:H115" si="3">F95*G95</f>
        <v>28595</v>
      </c>
    </row>
    <row r="96" spans="2:9" ht="16.8" x14ac:dyDescent="0.25">
      <c r="B96" s="18" t="s">
        <v>21</v>
      </c>
      <c r="C96" s="13" t="s">
        <v>249</v>
      </c>
      <c r="D96" s="271"/>
      <c r="E96" s="270"/>
      <c r="F96" s="274">
        <f>('App9. Data for tables'!$G$32*'App9. Data for tables'!$G$33)+('App9. Data for tables'!$G$34*'App9. Data for tables'!$G$35)</f>
        <v>0</v>
      </c>
      <c r="G96" s="270">
        <f>'App9. Data for tables'!$G$78</f>
        <v>28</v>
      </c>
      <c r="H96" s="267">
        <f t="shared" si="3"/>
        <v>0</v>
      </c>
    </row>
    <row r="97" spans="2:17" ht="16.8" x14ac:dyDescent="0.25">
      <c r="B97" s="18" t="s">
        <v>21</v>
      </c>
      <c r="C97" s="13" t="s">
        <v>251</v>
      </c>
      <c r="D97" s="274"/>
      <c r="E97" s="274"/>
      <c r="F97" s="271">
        <f>'App9. Data for tables'!$G$36+('App9. Data for tables'!$G$37*'App9. Data for tables'!$G$38)</f>
        <v>1874.8</v>
      </c>
      <c r="G97" s="270">
        <f>'App9. Data for tables'!$G$78</f>
        <v>28</v>
      </c>
      <c r="H97" s="267">
        <f t="shared" si="3"/>
        <v>52494.400000000001</v>
      </c>
    </row>
    <row r="98" spans="2:17" ht="16.8" x14ac:dyDescent="0.25">
      <c r="B98" s="18" t="s">
        <v>21</v>
      </c>
      <c r="C98" s="19" t="s">
        <v>470</v>
      </c>
      <c r="D98" s="274"/>
      <c r="E98" s="274"/>
      <c r="F98" s="271">
        <f>'App9. Data for tables'!$G$39</f>
        <v>226</v>
      </c>
      <c r="G98" s="270">
        <f>'App9. Data for tables'!$G$78</f>
        <v>28</v>
      </c>
      <c r="H98" s="267">
        <f t="shared" si="3"/>
        <v>6328</v>
      </c>
      <c r="I98" s="43"/>
      <c r="K98" s="25"/>
      <c r="N98" s="25"/>
      <c r="Q98" s="25"/>
    </row>
    <row r="99" spans="2:17" ht="16.8" x14ac:dyDescent="0.25">
      <c r="B99" s="18" t="s">
        <v>21</v>
      </c>
      <c r="C99" s="19" t="s">
        <v>471</v>
      </c>
      <c r="D99" s="274"/>
      <c r="E99" s="274"/>
      <c r="F99" s="271">
        <f>('App9. Data for tables'!$G$40*'App9. Data for tables'!$G$41)</f>
        <v>49.5</v>
      </c>
      <c r="G99" s="270">
        <f>'App9. Data for tables'!$G$78</f>
        <v>28</v>
      </c>
      <c r="H99" s="267">
        <f t="shared" si="3"/>
        <v>1386</v>
      </c>
      <c r="I99" s="43"/>
      <c r="K99" s="25"/>
      <c r="N99" s="25"/>
      <c r="Q99" s="25"/>
    </row>
    <row r="100" spans="2:17" x14ac:dyDescent="0.25">
      <c r="B100" s="18" t="s">
        <v>21</v>
      </c>
      <c r="C100" s="19" t="s">
        <v>137</v>
      </c>
      <c r="D100" s="271"/>
      <c r="E100" s="54"/>
      <c r="F100" s="274">
        <f>'App9. Data for tables'!$G$42</f>
        <v>170</v>
      </c>
      <c r="G100" s="270">
        <f>'App9. Data for tables'!$G$78</f>
        <v>28</v>
      </c>
      <c r="H100" s="267">
        <f t="shared" si="3"/>
        <v>4760</v>
      </c>
    </row>
    <row r="101" spans="2:17" x14ac:dyDescent="0.25">
      <c r="B101" s="18" t="s">
        <v>21</v>
      </c>
      <c r="C101" s="19" t="s">
        <v>12</v>
      </c>
      <c r="D101" s="274"/>
      <c r="E101" s="274"/>
      <c r="F101" s="271">
        <f>'App9. Data for tables'!$G$43</f>
        <v>195</v>
      </c>
      <c r="G101" s="270">
        <f>'App9. Data for tables'!$G$78</f>
        <v>28</v>
      </c>
      <c r="H101" s="267">
        <f t="shared" si="3"/>
        <v>5460</v>
      </c>
    </row>
    <row r="102" spans="2:17" ht="16.8" x14ac:dyDescent="0.25">
      <c r="B102" s="18" t="s">
        <v>21</v>
      </c>
      <c r="C102" s="19" t="s">
        <v>326</v>
      </c>
      <c r="D102" s="274"/>
      <c r="E102" s="274"/>
      <c r="F102" s="271">
        <f>('App9. Data for tables'!$G$44*'App9. Data for tables'!$G$45)</f>
        <v>361.27</v>
      </c>
      <c r="G102" s="270">
        <f>'App9. Data for tables'!$G$78</f>
        <v>28</v>
      </c>
      <c r="H102" s="267">
        <f t="shared" si="3"/>
        <v>10115.56</v>
      </c>
    </row>
    <row r="103" spans="2:17" x14ac:dyDescent="0.25">
      <c r="B103" s="18" t="s">
        <v>21</v>
      </c>
      <c r="C103" s="13" t="s">
        <v>10</v>
      </c>
      <c r="D103" s="271"/>
      <c r="E103" s="54"/>
      <c r="F103" s="274">
        <f>'App9. Data for tables'!$G$46*'App9. Data for tables'!$G$47</f>
        <v>65</v>
      </c>
      <c r="G103" s="270">
        <f>'App9. Data for tables'!$G$78</f>
        <v>28</v>
      </c>
      <c r="H103" s="267">
        <f t="shared" si="3"/>
        <v>1820</v>
      </c>
    </row>
    <row r="104" spans="2:17" ht="16.8" x14ac:dyDescent="0.25">
      <c r="B104" s="18" t="s">
        <v>21</v>
      </c>
      <c r="C104" s="19" t="s">
        <v>254</v>
      </c>
      <c r="D104" s="274"/>
      <c r="E104" s="274"/>
      <c r="F104" s="271">
        <f>('App9. Data for tables'!$G$51*'App9. Data for tables'!$G$52)</f>
        <v>9.9</v>
      </c>
      <c r="G104" s="270">
        <f>'App9. Data for tables'!$G$78</f>
        <v>28</v>
      </c>
      <c r="H104" s="267">
        <f t="shared" si="3"/>
        <v>277.2</v>
      </c>
    </row>
    <row r="105" spans="2:17" ht="16.8" x14ac:dyDescent="0.25">
      <c r="B105" s="18" t="s">
        <v>21</v>
      </c>
      <c r="C105" s="19" t="s">
        <v>322</v>
      </c>
      <c r="D105" s="274"/>
      <c r="E105" s="274"/>
      <c r="F105" s="271">
        <f>SUM('App9. Data for tables'!$G$53:$G$57)</f>
        <v>425</v>
      </c>
      <c r="G105" s="270">
        <f>'App9. Data for tables'!$G$78</f>
        <v>28</v>
      </c>
      <c r="H105" s="267">
        <f t="shared" si="3"/>
        <v>11900</v>
      </c>
    </row>
    <row r="106" spans="2:17" ht="16.8" x14ac:dyDescent="0.25">
      <c r="B106" s="18" t="s">
        <v>21</v>
      </c>
      <c r="C106" s="19" t="s">
        <v>323</v>
      </c>
      <c r="D106" s="274"/>
      <c r="E106" s="274"/>
      <c r="F106" s="271">
        <f>'App9. Data for tables'!$G$58</f>
        <v>270</v>
      </c>
      <c r="G106" s="270">
        <f>'App9. Data for tables'!$G$78</f>
        <v>28</v>
      </c>
      <c r="H106" s="267">
        <f t="shared" si="3"/>
        <v>7560</v>
      </c>
    </row>
    <row r="107" spans="2:17" ht="16.8" x14ac:dyDescent="0.25">
      <c r="B107" s="18" t="s">
        <v>21</v>
      </c>
      <c r="C107" s="19" t="s">
        <v>324</v>
      </c>
      <c r="D107" s="271"/>
      <c r="E107" s="54"/>
      <c r="F107" s="274">
        <f>'App9. Data for tables'!$G$68</f>
        <v>300</v>
      </c>
      <c r="G107" s="270">
        <f>'App9. Data for tables'!$G$78</f>
        <v>28</v>
      </c>
      <c r="H107" s="267">
        <f t="shared" si="3"/>
        <v>8400</v>
      </c>
    </row>
    <row r="108" spans="2:17" x14ac:dyDescent="0.25">
      <c r="B108" s="18" t="s">
        <v>21</v>
      </c>
      <c r="C108" s="19" t="s">
        <v>112</v>
      </c>
      <c r="D108" s="274"/>
      <c r="E108" s="270"/>
      <c r="F108" s="271">
        <f>'App9. Data for tables'!$G$69</f>
        <v>190</v>
      </c>
      <c r="G108" s="270">
        <f>'App9. Data for tables'!$G$78</f>
        <v>28</v>
      </c>
      <c r="H108" s="267">
        <f t="shared" si="3"/>
        <v>5320</v>
      </c>
    </row>
    <row r="109" spans="2:17" x14ac:dyDescent="0.25">
      <c r="B109" s="18" t="s">
        <v>21</v>
      </c>
      <c r="C109" s="19" t="s">
        <v>51</v>
      </c>
      <c r="D109" s="274"/>
      <c r="E109" s="274"/>
      <c r="F109" s="271">
        <f>'App9. Data for tables'!$G$70</f>
        <v>200</v>
      </c>
      <c r="G109" s="270">
        <f>'App9. Data for tables'!$G$78</f>
        <v>28</v>
      </c>
      <c r="H109" s="267">
        <f t="shared" si="3"/>
        <v>5600</v>
      </c>
    </row>
    <row r="110" spans="2:17" x14ac:dyDescent="0.25">
      <c r="B110" s="18" t="s">
        <v>21</v>
      </c>
      <c r="C110" s="19" t="s">
        <v>56</v>
      </c>
      <c r="D110" s="274"/>
      <c r="E110" s="274"/>
      <c r="F110" s="271">
        <f>'App9. Data for tables'!$G$71</f>
        <v>600</v>
      </c>
      <c r="G110" s="270">
        <f>'App9. Data for tables'!$G$78</f>
        <v>28</v>
      </c>
      <c r="H110" s="267">
        <f t="shared" si="3"/>
        <v>16800</v>
      </c>
    </row>
    <row r="111" spans="2:17" ht="16.8" x14ac:dyDescent="0.25">
      <c r="B111" s="18" t="s">
        <v>21</v>
      </c>
      <c r="C111" s="19" t="s">
        <v>325</v>
      </c>
      <c r="D111" s="274"/>
      <c r="E111" s="274"/>
      <c r="F111" s="271">
        <f>'App9. Data for tables'!$G$72</f>
        <v>750</v>
      </c>
      <c r="G111" s="270">
        <f>'App9. Data for tables'!$G$78</f>
        <v>28</v>
      </c>
      <c r="H111" s="267">
        <f t="shared" si="3"/>
        <v>21000</v>
      </c>
    </row>
    <row r="112" spans="2:17" x14ac:dyDescent="0.25">
      <c r="B112" s="18" t="s">
        <v>21</v>
      </c>
      <c r="C112" s="19" t="s">
        <v>474</v>
      </c>
      <c r="D112" s="271">
        <f>'App9. Data for tables'!$G$59</f>
        <v>37</v>
      </c>
      <c r="E112" s="270">
        <f>'App9. Data for tables'!$G$7</f>
        <v>81</v>
      </c>
      <c r="F112" s="274">
        <f>D112*E112</f>
        <v>2997</v>
      </c>
      <c r="G112" s="270">
        <f>'App9. Data for tables'!$G$78</f>
        <v>28</v>
      </c>
      <c r="H112" s="267">
        <f t="shared" si="3"/>
        <v>83916</v>
      </c>
    </row>
    <row r="113" spans="2:8" x14ac:dyDescent="0.25">
      <c r="B113" s="18" t="s">
        <v>21</v>
      </c>
      <c r="C113" s="19" t="s">
        <v>475</v>
      </c>
      <c r="D113" s="271">
        <f>'App9. Data for tables'!$G$60</f>
        <v>11</v>
      </c>
      <c r="E113" s="270">
        <f>'App9. Data for tables'!$G$7</f>
        <v>81</v>
      </c>
      <c r="F113" s="274">
        <f>D113*E113</f>
        <v>891</v>
      </c>
      <c r="G113" s="270">
        <f>'App9. Data for tables'!$G$78</f>
        <v>28</v>
      </c>
      <c r="H113" s="267">
        <f t="shared" si="3"/>
        <v>24948</v>
      </c>
    </row>
    <row r="114" spans="2:8" x14ac:dyDescent="0.25">
      <c r="B114" s="18" t="s">
        <v>21</v>
      </c>
      <c r="C114" s="19" t="s">
        <v>476</v>
      </c>
      <c r="D114" s="271">
        <f>'App9. Data for tables'!$G$61</f>
        <v>11</v>
      </c>
      <c r="E114" s="270">
        <f>'App9. Data for tables'!$G$7</f>
        <v>81</v>
      </c>
      <c r="F114" s="274">
        <f>D114*E114</f>
        <v>891</v>
      </c>
      <c r="G114" s="270">
        <f>'App9. Data for tables'!$G$78</f>
        <v>28</v>
      </c>
      <c r="H114" s="267">
        <f t="shared" si="3"/>
        <v>24948</v>
      </c>
    </row>
    <row r="115" spans="2:8" x14ac:dyDescent="0.25">
      <c r="B115" s="207" t="s">
        <v>21</v>
      </c>
      <c r="C115" s="120" t="s">
        <v>62</v>
      </c>
      <c r="D115" s="276">
        <f>'App9. Data for tables'!$G$67</f>
        <v>252</v>
      </c>
      <c r="E115" s="272">
        <f>'App9. Data for tables'!$G$7</f>
        <v>81</v>
      </c>
      <c r="F115" s="277">
        <f>D115*E115</f>
        <v>20412</v>
      </c>
      <c r="G115" s="278">
        <f>'App9. Data for tables'!$G$78</f>
        <v>28</v>
      </c>
      <c r="H115" s="279">
        <f t="shared" si="3"/>
        <v>571536</v>
      </c>
    </row>
    <row r="116" spans="2:8" x14ac:dyDescent="0.25">
      <c r="B116" s="13" t="s">
        <v>118</v>
      </c>
      <c r="C116" s="271"/>
      <c r="D116" s="270"/>
      <c r="E116" s="274"/>
      <c r="F116" s="270"/>
      <c r="G116" s="274"/>
      <c r="H116" s="14"/>
    </row>
    <row r="117" spans="2:8" x14ac:dyDescent="0.25">
      <c r="B117" s="16" t="s">
        <v>207</v>
      </c>
      <c r="C117" s="273"/>
      <c r="H117" s="14"/>
    </row>
    <row r="118" spans="2:8" x14ac:dyDescent="0.25">
      <c r="B118" s="16" t="s">
        <v>235</v>
      </c>
      <c r="C118" s="273"/>
      <c r="H118" s="14"/>
    </row>
    <row r="119" spans="2:8" x14ac:dyDescent="0.25">
      <c r="B119" s="16" t="s">
        <v>297</v>
      </c>
      <c r="C119" s="273"/>
      <c r="H119" s="14"/>
    </row>
    <row r="120" spans="2:8" x14ac:dyDescent="0.25">
      <c r="B120" s="16" t="s">
        <v>250</v>
      </c>
      <c r="C120" s="273"/>
      <c r="H120" s="14"/>
    </row>
    <row r="121" spans="2:8" x14ac:dyDescent="0.25">
      <c r="B121" s="16" t="s">
        <v>252</v>
      </c>
      <c r="C121" s="218"/>
      <c r="H121" s="14"/>
    </row>
    <row r="122" spans="2:8" x14ac:dyDescent="0.25">
      <c r="B122" s="16" t="s">
        <v>253</v>
      </c>
      <c r="C122" s="218"/>
      <c r="H122" s="14"/>
    </row>
    <row r="123" spans="2:8" ht="28.95" customHeight="1" x14ac:dyDescent="0.25">
      <c r="B123" s="319" t="s">
        <v>298</v>
      </c>
      <c r="C123" s="319"/>
      <c r="D123" s="319"/>
      <c r="E123" s="319"/>
      <c r="F123" s="319"/>
      <c r="G123" s="319"/>
      <c r="H123" s="319"/>
    </row>
    <row r="124" spans="2:8" ht="16.95" customHeight="1" x14ac:dyDescent="0.25">
      <c r="B124" s="16" t="s">
        <v>327</v>
      </c>
      <c r="C124" s="218"/>
      <c r="H124" s="14"/>
    </row>
    <row r="125" spans="2:8" ht="13.8" customHeight="1" x14ac:dyDescent="0.25">
      <c r="B125" s="58" t="s">
        <v>328</v>
      </c>
      <c r="C125" s="58"/>
      <c r="D125" s="58"/>
      <c r="E125" s="58"/>
      <c r="F125" s="58"/>
      <c r="G125" s="58"/>
      <c r="H125" s="58"/>
    </row>
    <row r="126" spans="2:8" x14ac:dyDescent="0.25">
      <c r="B126" s="16" t="s">
        <v>329</v>
      </c>
      <c r="C126" s="218"/>
      <c r="H126" s="14"/>
    </row>
    <row r="127" spans="2:8" x14ac:dyDescent="0.25">
      <c r="B127" s="16" t="s">
        <v>330</v>
      </c>
      <c r="C127" s="218"/>
      <c r="H127" s="14"/>
    </row>
    <row r="128" spans="2:8" x14ac:dyDescent="0.25">
      <c r="B128" s="16" t="s">
        <v>331</v>
      </c>
      <c r="C128" s="218"/>
      <c r="H128" s="14"/>
    </row>
    <row r="129" spans="2:8" x14ac:dyDescent="0.25">
      <c r="B129" s="16" t="s">
        <v>332</v>
      </c>
      <c r="C129" s="218"/>
      <c r="H129" s="14"/>
    </row>
    <row r="130" spans="2:8" x14ac:dyDescent="0.25">
      <c r="B130" s="16" t="s">
        <v>333</v>
      </c>
      <c r="C130" s="218"/>
      <c r="H130" s="14"/>
    </row>
  </sheetData>
  <protectedRanges>
    <protectedRange sqref="D4:F115" name="Range2"/>
    <protectedRange sqref="C116:E116" name="Range2_1"/>
  </protectedRanges>
  <mergeCells count="2">
    <mergeCell ref="B123:H123"/>
    <mergeCell ref="B2:H2"/>
  </mergeCells>
  <phoneticPr fontId="18" type="noConversion"/>
  <pageMargins left="0.7" right="0.7" top="0.75" bottom="0.75" header="0.3" footer="0.3"/>
  <pageSetup orientation="portrait"/>
  <ignoredErrors>
    <ignoredError sqref="D9:D11 D98:E99 F108 D112:D115 F112:F115 F15 F45:F48 F29:F32 D76:E77 D85:E85 D107:F107 D109:F111 D65:E67 D87:E89 F12:F13 D57:E58 F4 F42:F43 D61:E62 F35 F53 F18 F39:F40 F41 F25:F27 F49:F50 F72 F5:F8 F9:F10 F19:F24 F33 F36:F37 F60:F67 F54:F59 D68:E71 F68:F71 F73:F75 F95:G95 F76:F89 D90:E93 F90:F93 F94 F96:F97 F98:F106" unlocked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workbookViewId="0">
      <selection activeCell="B2" sqref="B2:G2"/>
    </sheetView>
  </sheetViews>
  <sheetFormatPr defaultColWidth="9.109375" defaultRowHeight="13.8" x14ac:dyDescent="0.25"/>
  <cols>
    <col min="1" max="1" width="6.6640625" style="14" customWidth="1"/>
    <col min="2" max="2" width="53.5546875" style="13" customWidth="1"/>
    <col min="3" max="3" width="11.33203125" style="13" customWidth="1"/>
    <col min="4" max="4" width="11.5546875" style="13" customWidth="1"/>
    <col min="5" max="5" width="11.33203125" style="13" customWidth="1"/>
    <col min="6" max="6" width="12.6640625" style="13" customWidth="1"/>
    <col min="7" max="7" width="14.44140625" style="13" customWidth="1"/>
    <col min="8" max="8" width="4.44140625" style="13" customWidth="1"/>
    <col min="9" max="10" width="9.109375" style="13"/>
    <col min="11" max="16384" width="9.109375" style="14"/>
  </cols>
  <sheetData>
    <row r="2" spans="2:10" ht="42.75" customHeight="1" x14ac:dyDescent="0.25">
      <c r="B2" s="320" t="s">
        <v>477</v>
      </c>
      <c r="C2" s="320"/>
      <c r="D2" s="320"/>
      <c r="E2" s="320"/>
      <c r="F2" s="320"/>
      <c r="G2" s="320"/>
    </row>
    <row r="3" spans="2:10" s="18" customFormat="1" ht="27.6" x14ac:dyDescent="0.25">
      <c r="B3" s="265" t="s">
        <v>277</v>
      </c>
      <c r="C3" s="283" t="s">
        <v>26</v>
      </c>
      <c r="D3" s="283" t="s">
        <v>23</v>
      </c>
      <c r="E3" s="283" t="s">
        <v>27</v>
      </c>
      <c r="F3" s="283" t="s">
        <v>24</v>
      </c>
      <c r="G3" s="284" t="s">
        <v>28</v>
      </c>
      <c r="H3" s="13"/>
      <c r="I3" s="13"/>
      <c r="J3" s="13"/>
    </row>
    <row r="4" spans="2:10" x14ac:dyDescent="0.25">
      <c r="B4" s="19" t="s">
        <v>478</v>
      </c>
      <c r="C4" s="274"/>
      <c r="D4" s="274"/>
      <c r="E4" s="271">
        <f>'App9. Data for tables'!$H$22</f>
        <v>0</v>
      </c>
      <c r="F4" s="270">
        <f>'App9. Data for tables'!$H$78</f>
        <v>28</v>
      </c>
      <c r="G4" s="280">
        <f t="shared" ref="G4:G25" si="0">E4*F4</f>
        <v>0</v>
      </c>
      <c r="I4" s="14"/>
      <c r="J4" s="14"/>
    </row>
    <row r="5" spans="2:10" ht="16.8" x14ac:dyDescent="0.25">
      <c r="B5" s="13" t="s">
        <v>208</v>
      </c>
      <c r="C5" s="271"/>
      <c r="D5" s="270"/>
      <c r="E5" s="274">
        <f>('App9. Data for tables'!$H$28*'App9. Data for tables'!$H$29)+('App9. Data for tables'!$H$30*'App9. Data for tables'!$H$31)</f>
        <v>1306.25</v>
      </c>
      <c r="F5" s="270">
        <f>'App9. Data for tables'!$H$78</f>
        <v>28</v>
      </c>
      <c r="G5" s="274">
        <f t="shared" si="0"/>
        <v>36575</v>
      </c>
    </row>
    <row r="6" spans="2:10" ht="16.8" x14ac:dyDescent="0.25">
      <c r="B6" s="13" t="s">
        <v>255</v>
      </c>
      <c r="C6" s="271"/>
      <c r="D6" s="270"/>
      <c r="E6" s="274">
        <f>('App9. Data for tables'!$H$32*'App9. Data for tables'!$H$33)</f>
        <v>0</v>
      </c>
      <c r="F6" s="270">
        <f>'App9. Data for tables'!$H$78</f>
        <v>28</v>
      </c>
      <c r="G6" s="274">
        <f t="shared" si="0"/>
        <v>0</v>
      </c>
    </row>
    <row r="7" spans="2:10" ht="16.8" x14ac:dyDescent="0.25">
      <c r="B7" s="13" t="s">
        <v>257</v>
      </c>
      <c r="C7" s="274"/>
      <c r="D7" s="270"/>
      <c r="E7" s="271">
        <f>'App9. Data for tables'!$H$36+('App9. Data for tables'!$H$37*'App9. Data for tables'!$H$38)</f>
        <v>1874.8</v>
      </c>
      <c r="F7" s="270">
        <f>'App9. Data for tables'!$H$78</f>
        <v>28</v>
      </c>
      <c r="G7" s="274">
        <f t="shared" si="0"/>
        <v>52494.400000000001</v>
      </c>
    </row>
    <row r="8" spans="2:10" ht="16.8" x14ac:dyDescent="0.25">
      <c r="B8" s="19" t="s">
        <v>479</v>
      </c>
      <c r="C8" s="271"/>
      <c r="D8" s="54"/>
      <c r="E8" s="274">
        <f>'App9. Data for tables'!$H$39</f>
        <v>226</v>
      </c>
      <c r="F8" s="270">
        <f>'App9. Data for tables'!$H$78</f>
        <v>28</v>
      </c>
      <c r="G8" s="274">
        <f t="shared" si="0"/>
        <v>6328</v>
      </c>
    </row>
    <row r="9" spans="2:10" ht="16.8" x14ac:dyDescent="0.25">
      <c r="B9" s="19" t="s">
        <v>480</v>
      </c>
      <c r="C9" s="271"/>
      <c r="D9" s="54"/>
      <c r="E9" s="274">
        <f>('App9. Data for tables'!$H$40*'App9. Data for tables'!$H$41)</f>
        <v>49.5</v>
      </c>
      <c r="F9" s="270">
        <f>'App9. Data for tables'!$H$78</f>
        <v>28</v>
      </c>
      <c r="G9" s="274">
        <f t="shared" si="0"/>
        <v>1386</v>
      </c>
    </row>
    <row r="10" spans="2:10" x14ac:dyDescent="0.25">
      <c r="B10" s="19" t="s">
        <v>137</v>
      </c>
      <c r="C10" s="271"/>
      <c r="D10" s="54"/>
      <c r="E10" s="271">
        <f>'App9. Data for tables'!$H$42</f>
        <v>170</v>
      </c>
      <c r="F10" s="270">
        <f>'App9. Data for tables'!$H$78</f>
        <v>28</v>
      </c>
      <c r="G10" s="274">
        <f t="shared" si="0"/>
        <v>4760</v>
      </c>
    </row>
    <row r="11" spans="2:10" x14ac:dyDescent="0.25">
      <c r="B11" s="19" t="s">
        <v>12</v>
      </c>
      <c r="C11" s="274"/>
      <c r="D11" s="274"/>
      <c r="E11" s="271">
        <f>'App9. Data for tables'!$H$43</f>
        <v>195</v>
      </c>
      <c r="F11" s="270">
        <f>'App9. Data for tables'!$H$78</f>
        <v>28</v>
      </c>
      <c r="G11" s="274">
        <f t="shared" si="0"/>
        <v>5460</v>
      </c>
    </row>
    <row r="12" spans="2:10" ht="16.8" x14ac:dyDescent="0.25">
      <c r="B12" s="19" t="s">
        <v>296</v>
      </c>
      <c r="C12" s="274"/>
      <c r="D12" s="274"/>
      <c r="E12" s="271">
        <f>('App9. Data for tables'!$H$44*'App9. Data for tables'!$H$45)</f>
        <v>361.27</v>
      </c>
      <c r="F12" s="270">
        <f>'App9. Data for tables'!$H$78</f>
        <v>28</v>
      </c>
      <c r="G12" s="274">
        <f t="shared" si="0"/>
        <v>10115.56</v>
      </c>
    </row>
    <row r="13" spans="2:10" x14ac:dyDescent="0.25">
      <c r="B13" s="13" t="s">
        <v>10</v>
      </c>
      <c r="C13" s="271"/>
      <c r="D13" s="54"/>
      <c r="E13" s="274">
        <f>'App9. Data for tables'!$H$46*'App9. Data for tables'!$H$47</f>
        <v>65</v>
      </c>
      <c r="F13" s="270">
        <f>'App9. Data for tables'!$H$78</f>
        <v>28</v>
      </c>
      <c r="G13" s="274">
        <f t="shared" si="0"/>
        <v>1820</v>
      </c>
    </row>
    <row r="14" spans="2:10" ht="16.8" x14ac:dyDescent="0.25">
      <c r="B14" s="19" t="s">
        <v>162</v>
      </c>
      <c r="C14" s="274"/>
      <c r="D14" s="274"/>
      <c r="E14" s="271">
        <f>('App9. Data for tables'!$H$51*'App9. Data for tables'!$H$52)</f>
        <v>9.9</v>
      </c>
      <c r="F14" s="270">
        <f>'App9. Data for tables'!$H$78</f>
        <v>28</v>
      </c>
      <c r="G14" s="274">
        <f t="shared" si="0"/>
        <v>277.2</v>
      </c>
    </row>
    <row r="15" spans="2:10" ht="16.8" x14ac:dyDescent="0.25">
      <c r="B15" s="19" t="s">
        <v>295</v>
      </c>
      <c r="C15" s="274"/>
      <c r="D15" s="274"/>
      <c r="E15" s="271">
        <f>SUM('App9. Data for tables'!$H$53:$H$57)</f>
        <v>425</v>
      </c>
      <c r="F15" s="270">
        <f>'App9. Data for tables'!$H$78</f>
        <v>28</v>
      </c>
      <c r="G15" s="274">
        <f t="shared" si="0"/>
        <v>11900</v>
      </c>
    </row>
    <row r="16" spans="2:10" ht="16.8" x14ac:dyDescent="0.25">
      <c r="B16" s="19" t="s">
        <v>294</v>
      </c>
      <c r="C16" s="274"/>
      <c r="D16" s="274"/>
      <c r="E16" s="271">
        <f>'App9. Data for tables'!$H$58</f>
        <v>270</v>
      </c>
      <c r="F16" s="270">
        <f>'App9. Data for tables'!$H$78</f>
        <v>28</v>
      </c>
      <c r="G16" s="274">
        <f t="shared" si="0"/>
        <v>7560</v>
      </c>
    </row>
    <row r="17" spans="2:7" ht="16.8" x14ac:dyDescent="0.25">
      <c r="B17" s="19" t="s">
        <v>259</v>
      </c>
      <c r="C17" s="271"/>
      <c r="D17" s="54"/>
      <c r="E17" s="274">
        <f>'App9. Data for tables'!$H$68</f>
        <v>300</v>
      </c>
      <c r="F17" s="270">
        <f>'App9. Data for tables'!$H$78</f>
        <v>28</v>
      </c>
      <c r="G17" s="274">
        <f t="shared" si="0"/>
        <v>8400</v>
      </c>
    </row>
    <row r="18" spans="2:7" x14ac:dyDescent="0.25">
      <c r="B18" s="19" t="s">
        <v>112</v>
      </c>
      <c r="C18" s="274"/>
      <c r="D18" s="270"/>
      <c r="E18" s="271">
        <f>'App9. Data for tables'!$H$69</f>
        <v>190</v>
      </c>
      <c r="F18" s="270">
        <f>'App9. Data for tables'!$H$78</f>
        <v>28</v>
      </c>
      <c r="G18" s="274">
        <f t="shared" si="0"/>
        <v>5320</v>
      </c>
    </row>
    <row r="19" spans="2:7" x14ac:dyDescent="0.25">
      <c r="B19" s="19" t="s">
        <v>51</v>
      </c>
      <c r="C19" s="274"/>
      <c r="D19" s="274"/>
      <c r="E19" s="271">
        <f>'App9. Data for tables'!$H$70</f>
        <v>200</v>
      </c>
      <c r="F19" s="270">
        <f>'App9. Data for tables'!$H$78</f>
        <v>28</v>
      </c>
      <c r="G19" s="274">
        <f t="shared" si="0"/>
        <v>5600</v>
      </c>
    </row>
    <row r="20" spans="2:7" x14ac:dyDescent="0.25">
      <c r="B20" s="19" t="s">
        <v>267</v>
      </c>
      <c r="C20" s="274"/>
      <c r="D20" s="274"/>
      <c r="E20" s="271">
        <f>'App9. Data for tables'!$H$71</f>
        <v>600</v>
      </c>
      <c r="F20" s="270">
        <f>'App9. Data for tables'!$H$78</f>
        <v>28</v>
      </c>
      <c r="G20" s="274">
        <f t="shared" si="0"/>
        <v>16800</v>
      </c>
    </row>
    <row r="21" spans="2:7" ht="16.8" x14ac:dyDescent="0.25">
      <c r="B21" s="19" t="s">
        <v>293</v>
      </c>
      <c r="C21" s="274"/>
      <c r="D21" s="274"/>
      <c r="E21" s="271">
        <f>'App9. Data for tables'!$H$72</f>
        <v>750</v>
      </c>
      <c r="F21" s="270">
        <f>'App9. Data for tables'!$H$78</f>
        <v>28</v>
      </c>
      <c r="G21" s="274">
        <f t="shared" si="0"/>
        <v>21000</v>
      </c>
    </row>
    <row r="22" spans="2:7" x14ac:dyDescent="0.25">
      <c r="B22" s="19" t="s">
        <v>474</v>
      </c>
      <c r="C22" s="271">
        <f>'App9. Data for tables'!$H$59</f>
        <v>37</v>
      </c>
      <c r="D22" s="270">
        <f>'App9. Data for tables'!$H$7</f>
        <v>99</v>
      </c>
      <c r="E22" s="274">
        <f>C22*D22</f>
        <v>3663</v>
      </c>
      <c r="F22" s="270">
        <f>'App9. Data for tables'!$H$78</f>
        <v>28</v>
      </c>
      <c r="G22" s="274">
        <f t="shared" si="0"/>
        <v>102564</v>
      </c>
    </row>
    <row r="23" spans="2:7" x14ac:dyDescent="0.25">
      <c r="B23" s="19" t="s">
        <v>475</v>
      </c>
      <c r="C23" s="271">
        <f>'App9. Data for tables'!$H$60</f>
        <v>11</v>
      </c>
      <c r="D23" s="270">
        <f>'App9. Data for tables'!$H$7</f>
        <v>99</v>
      </c>
      <c r="E23" s="274">
        <f>C23*D23</f>
        <v>1089</v>
      </c>
      <c r="F23" s="270">
        <f>'App9. Data for tables'!$H$78</f>
        <v>28</v>
      </c>
      <c r="G23" s="274">
        <f t="shared" si="0"/>
        <v>30492</v>
      </c>
    </row>
    <row r="24" spans="2:7" x14ac:dyDescent="0.25">
      <c r="B24" s="19" t="s">
        <v>476</v>
      </c>
      <c r="C24" s="271">
        <f>'App9. Data for tables'!$H$61</f>
        <v>11</v>
      </c>
      <c r="D24" s="270">
        <f>'App9. Data for tables'!$H$7</f>
        <v>99</v>
      </c>
      <c r="E24" s="274">
        <f>C24*D24</f>
        <v>1089</v>
      </c>
      <c r="F24" s="270">
        <f>'App9. Data for tables'!$H$78</f>
        <v>28</v>
      </c>
      <c r="G24" s="274">
        <f t="shared" si="0"/>
        <v>30492</v>
      </c>
    </row>
    <row r="25" spans="2:7" x14ac:dyDescent="0.25">
      <c r="B25" s="120" t="s">
        <v>62</v>
      </c>
      <c r="C25" s="281">
        <f>'App9. Data for tables'!$H$67</f>
        <v>252</v>
      </c>
      <c r="D25" s="272">
        <f>'App9. Data for tables'!$H$7</f>
        <v>99</v>
      </c>
      <c r="E25" s="277">
        <f>C25*D25</f>
        <v>24948</v>
      </c>
      <c r="F25" s="272">
        <f>'App9. Data for tables'!$H$78</f>
        <v>28</v>
      </c>
      <c r="G25" s="282">
        <f t="shared" si="0"/>
        <v>698544</v>
      </c>
    </row>
    <row r="26" spans="2:7" x14ac:dyDescent="0.25">
      <c r="B26" s="13" t="s">
        <v>118</v>
      </c>
      <c r="C26" s="17"/>
      <c r="D26" s="28"/>
      <c r="E26" s="15"/>
      <c r="F26" s="24"/>
      <c r="G26" s="15"/>
    </row>
    <row r="27" spans="2:7" x14ac:dyDescent="0.25">
      <c r="B27" s="16" t="s">
        <v>286</v>
      </c>
    </row>
    <row r="28" spans="2:7" x14ac:dyDescent="0.25">
      <c r="B28" s="16" t="s">
        <v>256</v>
      </c>
    </row>
    <row r="29" spans="2:7" x14ac:dyDescent="0.25">
      <c r="B29" s="16" t="s">
        <v>258</v>
      </c>
    </row>
    <row r="30" spans="2:7" x14ac:dyDescent="0.25">
      <c r="B30" s="16" t="s">
        <v>209</v>
      </c>
      <c r="E30" s="70"/>
    </row>
    <row r="31" spans="2:7" ht="30" customHeight="1" x14ac:dyDescent="0.25">
      <c r="B31" s="319" t="s">
        <v>288</v>
      </c>
      <c r="C31" s="319"/>
      <c r="D31" s="319"/>
      <c r="E31" s="319"/>
      <c r="F31" s="319"/>
      <c r="G31" s="319"/>
    </row>
    <row r="32" spans="2:7" ht="16.95" customHeight="1" x14ac:dyDescent="0.25">
      <c r="B32" s="319" t="s">
        <v>287</v>
      </c>
      <c r="C32" s="319"/>
      <c r="D32" s="319"/>
      <c r="E32" s="319"/>
      <c r="F32" s="319"/>
      <c r="G32" s="319"/>
    </row>
    <row r="33" spans="2:2" x14ac:dyDescent="0.25">
      <c r="B33" s="16" t="s">
        <v>289</v>
      </c>
    </row>
    <row r="34" spans="2:2" x14ac:dyDescent="0.25">
      <c r="B34" s="16" t="s">
        <v>290</v>
      </c>
    </row>
    <row r="35" spans="2:2" x14ac:dyDescent="0.25">
      <c r="B35" s="16" t="s">
        <v>291</v>
      </c>
    </row>
    <row r="36" spans="2:2" x14ac:dyDescent="0.25">
      <c r="B36" s="16" t="s">
        <v>292</v>
      </c>
    </row>
  </sheetData>
  <protectedRanges>
    <protectedRange sqref="C13:D13 C14:E17 C5:E12 C19:E26" name="Range2"/>
    <protectedRange sqref="C18:E18" name="Range2_1"/>
    <protectedRange sqref="C4:E4" name="Range2_3"/>
    <protectedRange sqref="E13" name="Range2_5"/>
  </protectedRanges>
  <mergeCells count="3">
    <mergeCell ref="B2:G2"/>
    <mergeCell ref="B31:G31"/>
    <mergeCell ref="B32:G32"/>
  </mergeCells>
  <phoneticPr fontId="18" type="noConversion"/>
  <pageMargins left="0.7" right="0.7" top="0.75" bottom="0.75" header="0.3" footer="0.3"/>
  <pageSetup orientation="portrait"/>
  <ignoredErrors>
    <ignoredError sqref="C8:D9 C22:C25 E22:E25 C14:D16 C21:E21 C19:D20 E17:F20 E5:F7 E13:F16 E4 E8:E9 E10:E12" unlockedFormula="1"/>
    <ignoredError sqref="F22:F25"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Granny Smith-Angled V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'Granny Smith-Angled V Budget'!Print_Area</vt:lpstr>
      <vt:lpstr>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m_taylor</dc:creator>
  <cp:lastModifiedBy>Suzette P Galinato</cp:lastModifiedBy>
  <cp:lastPrinted>2012-05-18T18:40:53Z</cp:lastPrinted>
  <dcterms:created xsi:type="dcterms:W3CDTF">2009-07-08T23:24:01Z</dcterms:created>
  <dcterms:modified xsi:type="dcterms:W3CDTF">2025-08-11T20:24:52Z</dcterms:modified>
</cp:coreProperties>
</file>