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V Trellis\"/>
    </mc:Choice>
  </mc:AlternateContent>
  <xr:revisionPtr revIDLastSave="0" documentId="13_ncr:1_{FE80E138-95F3-45C6-AC6A-A0D7D3D9512D}" xr6:coauthVersionLast="47" xr6:coauthVersionMax="47" xr10:uidLastSave="{00000000-0000-0000-0000-000000000000}"/>
  <bookViews>
    <workbookView xWindow="-108" yWindow="-108" windowWidth="23256" windowHeight="12456" xr2:uid="{2268B93F-AEB2-4D00-807F-9A90FBF361F1}"/>
  </bookViews>
  <sheets>
    <sheet name="Intro" sheetId="10" r:id="rId1"/>
    <sheet name="Cosmic Crisp-Angled V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'Cosmic Crisp-Angled V Budget'!$C$2:$J$62</definedName>
    <definedName name="_xlnm.Print_Area" localSheetId="0">Intro!$B$2:$L$10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1" l="1"/>
  <c r="I31" i="1"/>
  <c r="I32" i="1"/>
  <c r="I30" i="1"/>
  <c r="I25" i="1"/>
  <c r="I24" i="1"/>
  <c r="I21" i="1"/>
  <c r="I22" i="1"/>
  <c r="I23" i="1"/>
  <c r="I20" i="1"/>
  <c r="I19" i="1"/>
  <c r="I18" i="1"/>
  <c r="I17" i="1"/>
  <c r="I16" i="1"/>
  <c r="I15" i="1"/>
  <c r="I14" i="1"/>
  <c r="I13" i="1"/>
  <c r="I12" i="1"/>
  <c r="I11" i="1"/>
  <c r="I10" i="1"/>
  <c r="H52" i="1"/>
  <c r="H31" i="1"/>
  <c r="H32" i="1"/>
  <c r="H30" i="1"/>
  <c r="H25" i="1"/>
  <c r="H24" i="1"/>
  <c r="H21" i="1"/>
  <c r="H22" i="1"/>
  <c r="H23" i="1"/>
  <c r="H20" i="1"/>
  <c r="H19" i="1"/>
  <c r="H17" i="1"/>
  <c r="H18" i="1"/>
  <c r="H15" i="1"/>
  <c r="H14" i="1"/>
  <c r="H13" i="1"/>
  <c r="H12" i="1"/>
  <c r="H11" i="1"/>
  <c r="H10" i="1"/>
  <c r="H16" i="1"/>
  <c r="G52" i="1"/>
  <c r="G31" i="1"/>
  <c r="G32" i="1"/>
  <c r="G30" i="1"/>
  <c r="G25" i="1"/>
  <c r="G24" i="1"/>
  <c r="G21" i="1"/>
  <c r="G22" i="1"/>
  <c r="G23" i="1"/>
  <c r="G20" i="1"/>
  <c r="G19" i="1"/>
  <c r="G18" i="1"/>
  <c r="G17" i="1"/>
  <c r="G15" i="1"/>
  <c r="G14" i="1"/>
  <c r="G13" i="1"/>
  <c r="G12" i="1"/>
  <c r="G11" i="1"/>
  <c r="G10" i="1"/>
  <c r="F21" i="1"/>
  <c r="F22" i="1"/>
  <c r="F23" i="1"/>
  <c r="F20" i="1"/>
  <c r="F52" i="1"/>
  <c r="F31" i="1"/>
  <c r="F32" i="1"/>
  <c r="F30" i="1"/>
  <c r="F25" i="1"/>
  <c r="F24" i="1"/>
  <c r="F19" i="1"/>
  <c r="F17" i="1"/>
  <c r="F18" i="1"/>
  <c r="F15" i="1"/>
  <c r="F14" i="1"/>
  <c r="F13" i="1"/>
  <c r="F12" i="1"/>
  <c r="F11" i="1"/>
  <c r="F10" i="1"/>
  <c r="E52" i="1"/>
  <c r="E31" i="1"/>
  <c r="E32" i="1"/>
  <c r="E30" i="1"/>
  <c r="E25" i="1"/>
  <c r="E24" i="1"/>
  <c r="E19" i="1"/>
  <c r="E17" i="1"/>
  <c r="E15" i="1"/>
  <c r="E14" i="1"/>
  <c r="E13" i="1"/>
  <c r="E12" i="1"/>
  <c r="E11" i="1"/>
  <c r="E10" i="1"/>
  <c r="C4" i="7"/>
  <c r="C7" i="2"/>
  <c r="D52" i="1"/>
  <c r="D31" i="1"/>
  <c r="D32" i="1"/>
  <c r="D30" i="1"/>
  <c r="D25" i="1"/>
  <c r="D24" i="1"/>
  <c r="D19" i="1"/>
  <c r="D17" i="1"/>
  <c r="D15" i="1"/>
  <c r="D14" i="1"/>
  <c r="D13" i="1"/>
  <c r="D12" i="1"/>
  <c r="D11" i="1"/>
  <c r="D10" i="1"/>
  <c r="D8" i="1"/>
  <c r="D9" i="1"/>
  <c r="H19" i="14"/>
  <c r="H18" i="14"/>
  <c r="H17" i="14"/>
  <c r="H16" i="14"/>
  <c r="H15" i="14"/>
  <c r="H14" i="14"/>
  <c r="H13" i="14"/>
  <c r="H12" i="14"/>
  <c r="H11" i="14"/>
  <c r="H10" i="14"/>
  <c r="H9" i="14"/>
  <c r="H8" i="14"/>
  <c r="H7" i="14"/>
  <c r="H6" i="14"/>
  <c r="H5" i="14"/>
  <c r="H4" i="14"/>
  <c r="F8" i="6"/>
  <c r="F9" i="6"/>
  <c r="F10" i="6"/>
  <c r="F4" i="6"/>
  <c r="G94" i="3"/>
  <c r="G95" i="3"/>
  <c r="G96" i="3"/>
  <c r="G97" i="3"/>
  <c r="G98" i="3"/>
  <c r="G99" i="3"/>
  <c r="G100" i="3"/>
  <c r="G101" i="3"/>
  <c r="G102" i="3"/>
  <c r="G103" i="3"/>
  <c r="G104" i="3"/>
  <c r="G105" i="3"/>
  <c r="G106" i="3"/>
  <c r="G107" i="3"/>
  <c r="G108" i="3"/>
  <c r="G109" i="3"/>
  <c r="G110" i="3"/>
  <c r="G111" i="3"/>
  <c r="G112" i="3"/>
  <c r="G113" i="3"/>
  <c r="G114" i="3"/>
  <c r="G93" i="3"/>
  <c r="G71" i="3"/>
  <c r="G72" i="3"/>
  <c r="G73" i="3"/>
  <c r="G74" i="3"/>
  <c r="G75" i="3"/>
  <c r="G76" i="3"/>
  <c r="G77" i="3"/>
  <c r="G78" i="3"/>
  <c r="G79" i="3"/>
  <c r="G80" i="3"/>
  <c r="G81" i="3"/>
  <c r="G82" i="3"/>
  <c r="G83" i="3"/>
  <c r="G84" i="3"/>
  <c r="G85" i="3"/>
  <c r="G86" i="3"/>
  <c r="G87" i="3"/>
  <c r="G88" i="3"/>
  <c r="G89" i="3"/>
  <c r="G90" i="3"/>
  <c r="G91" i="3"/>
  <c r="G92" i="3"/>
  <c r="G70" i="3"/>
  <c r="G50" i="3"/>
  <c r="G51" i="3"/>
  <c r="G52" i="3"/>
  <c r="G53" i="3"/>
  <c r="G54" i="3"/>
  <c r="G55" i="3"/>
  <c r="G56" i="3"/>
  <c r="G57" i="3"/>
  <c r="G58" i="3"/>
  <c r="G59" i="3"/>
  <c r="G60" i="3"/>
  <c r="G61" i="3"/>
  <c r="G62" i="3"/>
  <c r="G63" i="3"/>
  <c r="G64" i="3"/>
  <c r="G65" i="3"/>
  <c r="G66" i="3"/>
  <c r="G67" i="3"/>
  <c r="G68" i="3"/>
  <c r="G69" i="3"/>
  <c r="G34" i="3"/>
  <c r="G35" i="3"/>
  <c r="G36" i="3"/>
  <c r="G37" i="3"/>
  <c r="G38" i="3"/>
  <c r="G39" i="3"/>
  <c r="G40" i="3"/>
  <c r="G41" i="3"/>
  <c r="G42" i="3"/>
  <c r="G43" i="3"/>
  <c r="G44" i="3"/>
  <c r="G45" i="3"/>
  <c r="G46" i="3"/>
  <c r="G47" i="3"/>
  <c r="G48"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C7" i="9"/>
  <c r="C8" i="9"/>
  <c r="C17" i="13" l="1"/>
  <c r="C9" i="16" l="1"/>
  <c r="H6" i="1"/>
  <c r="I6" i="1"/>
  <c r="G6" i="1"/>
  <c r="H64" i="13"/>
  <c r="G64" i="13"/>
  <c r="F64" i="13"/>
  <c r="E6" i="1" l="1"/>
  <c r="D6" i="1"/>
  <c r="F6" i="1"/>
  <c r="H66" i="13"/>
  <c r="G66" i="13"/>
  <c r="H65" i="13"/>
  <c r="G65" i="13"/>
  <c r="H59" i="13"/>
  <c r="G59" i="13"/>
  <c r="F59" i="13"/>
  <c r="H63" i="13"/>
  <c r="H7" i="13" s="1"/>
  <c r="G63" i="13"/>
  <c r="H61" i="13"/>
  <c r="G61" i="13"/>
  <c r="F61" i="13"/>
  <c r="C16" i="13"/>
  <c r="F25" i="3"/>
  <c r="F41" i="3"/>
  <c r="F24" i="3"/>
  <c r="D52" i="13"/>
  <c r="C52" i="13"/>
  <c r="C50" i="13"/>
  <c r="H41" i="3" l="1"/>
  <c r="H24" i="3"/>
  <c r="H25" i="3"/>
  <c r="G62" i="13"/>
  <c r="H62" i="13" s="1"/>
  <c r="H3" i="13"/>
  <c r="G3" i="13"/>
  <c r="H6" i="13"/>
  <c r="G6" i="13"/>
  <c r="F6" i="13"/>
  <c r="G7" i="13" l="1"/>
  <c r="F7" i="13"/>
  <c r="C82" i="13"/>
  <c r="C41" i="13" s="1"/>
  <c r="C83" i="13"/>
  <c r="C81" i="13"/>
  <c r="D82" i="13" l="1"/>
  <c r="E82" i="13" s="1"/>
  <c r="F82" i="13" s="1"/>
  <c r="G82" i="13" s="1"/>
  <c r="H82" i="13" s="1"/>
  <c r="H52" i="13" s="1"/>
  <c r="E41" i="13"/>
  <c r="H41" i="13"/>
  <c r="E52" i="13"/>
  <c r="F41" i="13"/>
  <c r="D41" i="13"/>
  <c r="G41" i="13"/>
  <c r="G52" i="13"/>
  <c r="F52" i="13"/>
  <c r="C5" i="8" l="1"/>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D79" i="13" l="1"/>
  <c r="E79" i="13" s="1"/>
  <c r="F79" i="13" s="1"/>
  <c r="G79" i="13" s="1"/>
  <c r="H79" i="13" s="1"/>
  <c r="D78" i="13"/>
  <c r="E78" i="13" s="1"/>
  <c r="D77" i="13"/>
  <c r="E77" i="13" s="1"/>
  <c r="F77" i="13" s="1"/>
  <c r="G77" i="13" s="1"/>
  <c r="H77" i="13" s="1"/>
  <c r="F78" i="13" l="1"/>
  <c r="G78" i="13" s="1"/>
  <c r="H78" i="13" s="1"/>
  <c r="C9" i="9"/>
  <c r="C6" i="9"/>
  <c r="C5" i="9"/>
  <c r="C4" i="9"/>
  <c r="C11" i="7" l="1"/>
  <c r="C10" i="2"/>
  <c r="C5" i="7"/>
  <c r="F6" i="2" s="1"/>
  <c r="F71" i="3"/>
  <c r="F70" i="3"/>
  <c r="H70" i="3" s="1"/>
  <c r="E13" i="6"/>
  <c r="F7" i="6"/>
  <c r="E4" i="6"/>
  <c r="F102" i="3"/>
  <c r="H102" i="3" s="1"/>
  <c r="F93" i="3"/>
  <c r="F80" i="3"/>
  <c r="H80" i="3" s="1"/>
  <c r="G4" i="6" l="1"/>
  <c r="H93" i="3"/>
  <c r="G16" i="1"/>
  <c r="H71" i="3"/>
  <c r="F57" i="3"/>
  <c r="H57" i="3" s="1"/>
  <c r="H4" i="13" l="1"/>
  <c r="G4" i="13"/>
  <c r="F4" i="13"/>
  <c r="C38" i="13" l="1"/>
  <c r="F18" i="3" s="1"/>
  <c r="H18" i="3" s="1"/>
  <c r="C35" i="13" l="1"/>
  <c r="D83" i="13"/>
  <c r="D81" i="13"/>
  <c r="E81" i="13" s="1"/>
  <c r="F81" i="13" s="1"/>
  <c r="G81" i="13" s="1"/>
  <c r="H81" i="13" s="1"/>
  <c r="E83" i="13" l="1"/>
  <c r="E35" i="13" s="1"/>
  <c r="D38" i="13"/>
  <c r="F35" i="3" s="1"/>
  <c r="D35" i="13"/>
  <c r="H35" i="3" l="1"/>
  <c r="F83" i="13"/>
  <c r="E38" i="13"/>
  <c r="F51" i="3" s="1"/>
  <c r="H51" i="3" l="1"/>
  <c r="G83" i="13"/>
  <c r="F38" i="13"/>
  <c r="F74" i="3" s="1"/>
  <c r="F35" i="13"/>
  <c r="H74" i="3" l="1"/>
  <c r="H83" i="13"/>
  <c r="H35" i="13" s="1"/>
  <c r="G38" i="13"/>
  <c r="F96" i="3" s="1"/>
  <c r="H96" i="3" s="1"/>
  <c r="G35" i="13"/>
  <c r="C23" i="7" l="1"/>
  <c r="D23" i="7"/>
  <c r="E5" i="7"/>
  <c r="E23" i="7" l="1"/>
  <c r="G23" i="7" s="1"/>
  <c r="F37" i="1" s="1"/>
  <c r="H37" i="1" l="1"/>
  <c r="E37" i="1"/>
  <c r="G37" i="1"/>
  <c r="I37" i="1"/>
  <c r="D37" i="1"/>
  <c r="H67" i="13" l="1"/>
  <c r="G67" i="13"/>
  <c r="F67" i="13"/>
  <c r="H45" i="13"/>
  <c r="G45" i="13"/>
  <c r="F45" i="13"/>
  <c r="E45" i="13"/>
  <c r="D45" i="13"/>
  <c r="C45" i="13"/>
  <c r="H38" i="13"/>
  <c r="E7" i="6" s="1"/>
  <c r="H33" i="13"/>
  <c r="G33" i="13"/>
  <c r="F95" i="3" s="1"/>
  <c r="H95" i="3" s="1"/>
  <c r="F33" i="13"/>
  <c r="F73" i="3" s="1"/>
  <c r="H73" i="3" s="1"/>
  <c r="E33" i="13"/>
  <c r="F50" i="3" s="1"/>
  <c r="H50" i="3" s="1"/>
  <c r="D33" i="13"/>
  <c r="F34" i="3" s="1"/>
  <c r="H34" i="3" s="1"/>
  <c r="C33" i="13"/>
  <c r="F17" i="3" s="1"/>
  <c r="H17" i="3" s="1"/>
  <c r="H31" i="13"/>
  <c r="G31" i="13"/>
  <c r="F31" i="13"/>
  <c r="E31" i="13"/>
  <c r="D31" i="13"/>
  <c r="C31" i="13"/>
  <c r="D29" i="13"/>
  <c r="E29" i="13"/>
  <c r="F29" i="13"/>
  <c r="G29" i="13"/>
  <c r="H29" i="13"/>
  <c r="C29" i="13"/>
  <c r="C19" i="13"/>
  <c r="C14" i="13"/>
  <c r="G7" i="6" l="1"/>
  <c r="E10" i="3" l="1"/>
  <c r="E9" i="3"/>
  <c r="G49" i="3"/>
  <c r="G33" i="3"/>
  <c r="G4" i="3"/>
  <c r="F25" i="6"/>
  <c r="F24" i="6"/>
  <c r="F23" i="6"/>
  <c r="F22" i="6"/>
  <c r="F21" i="6"/>
  <c r="F20" i="6"/>
  <c r="F19" i="6"/>
  <c r="F18" i="6"/>
  <c r="F16" i="6"/>
  <c r="F15" i="6"/>
  <c r="F14" i="6"/>
  <c r="F12" i="6"/>
  <c r="F11" i="6"/>
  <c r="F17" i="6"/>
  <c r="F13" i="6"/>
  <c r="G13" i="6" s="1"/>
  <c r="F6" i="6"/>
  <c r="F5" i="6"/>
  <c r="D27" i="7"/>
  <c r="D26" i="7"/>
  <c r="D25" i="7"/>
  <c r="D24" i="7"/>
  <c r="D22" i="7"/>
  <c r="E11" i="7"/>
  <c r="E10" i="7"/>
  <c r="E9" i="7"/>
  <c r="E8" i="7"/>
  <c r="E7" i="7"/>
  <c r="E6" i="7"/>
  <c r="E4" i="7"/>
  <c r="F11" i="3" l="1"/>
  <c r="H11" i="3" l="1"/>
  <c r="F8" i="3"/>
  <c r="H8" i="3" s="1"/>
  <c r="F7" i="3"/>
  <c r="H7" i="3" s="1"/>
  <c r="F17" i="11" l="1"/>
  <c r="C17" i="14" s="1"/>
  <c r="F17" i="14" l="1"/>
  <c r="G17" i="14" s="1"/>
  <c r="F58" i="3" l="1"/>
  <c r="D92" i="3"/>
  <c r="D114" i="3"/>
  <c r="C25" i="6"/>
  <c r="D69" i="3"/>
  <c r="H58" i="3" l="1"/>
  <c r="D68" i="3"/>
  <c r="D91" i="3"/>
  <c r="D113" i="3"/>
  <c r="C24" i="6"/>
  <c r="D24" i="6"/>
  <c r="D25" i="6"/>
  <c r="D22" i="6"/>
  <c r="D23" i="6"/>
  <c r="E10" i="6"/>
  <c r="F99" i="3"/>
  <c r="H99" i="3" s="1"/>
  <c r="F77" i="3"/>
  <c r="F54" i="3"/>
  <c r="F38" i="3"/>
  <c r="F21" i="3"/>
  <c r="F4" i="11"/>
  <c r="F5" i="11"/>
  <c r="C5" i="14" s="1"/>
  <c r="F6" i="11"/>
  <c r="C6" i="14" s="1"/>
  <c r="F6" i="14" s="1"/>
  <c r="G6" i="14" s="1"/>
  <c r="F7" i="11"/>
  <c r="C7" i="14" s="1"/>
  <c r="F7" i="14" s="1"/>
  <c r="G7" i="14" s="1"/>
  <c r="F8" i="11"/>
  <c r="C8" i="14" s="1"/>
  <c r="F8" i="14" s="1"/>
  <c r="G8" i="14" s="1"/>
  <c r="F9" i="11"/>
  <c r="C9" i="14" s="1"/>
  <c r="F9" i="14" s="1"/>
  <c r="G9" i="14" s="1"/>
  <c r="F10" i="11"/>
  <c r="C10" i="14" s="1"/>
  <c r="F10" i="14" s="1"/>
  <c r="G10" i="14" s="1"/>
  <c r="F11" i="11"/>
  <c r="C11" i="14" s="1"/>
  <c r="F11" i="14" s="1"/>
  <c r="G11" i="14" s="1"/>
  <c r="F12" i="11"/>
  <c r="C12" i="14" s="1"/>
  <c r="F12" i="14" s="1"/>
  <c r="G12" i="14" s="1"/>
  <c r="F13" i="11"/>
  <c r="C13" i="14" s="1"/>
  <c r="F13" i="14" s="1"/>
  <c r="G13" i="14" s="1"/>
  <c r="F14" i="11"/>
  <c r="C14" i="14" s="1"/>
  <c r="F14" i="14" s="1"/>
  <c r="G14" i="14" s="1"/>
  <c r="F15" i="11"/>
  <c r="C15" i="14" s="1"/>
  <c r="F15" i="14" s="1"/>
  <c r="G15" i="14" s="1"/>
  <c r="F16" i="11"/>
  <c r="C16" i="14" s="1"/>
  <c r="F16" i="14" s="1"/>
  <c r="G16" i="14" s="1"/>
  <c r="F18" i="11"/>
  <c r="C18" i="14" s="1"/>
  <c r="F19" i="11"/>
  <c r="C19" i="14" s="1"/>
  <c r="F19" i="14" s="1"/>
  <c r="G19" i="14" s="1"/>
  <c r="E12" i="6"/>
  <c r="F75" i="3"/>
  <c r="H75" i="3" s="1"/>
  <c r="F72" i="3"/>
  <c r="F61" i="3"/>
  <c r="F40" i="3"/>
  <c r="F16" i="3"/>
  <c r="F14" i="3"/>
  <c r="F5" i="3"/>
  <c r="H5" i="3" s="1"/>
  <c r="F6" i="3"/>
  <c r="H6" i="3" s="1"/>
  <c r="D9" i="3"/>
  <c r="D10" i="3"/>
  <c r="F23" i="3"/>
  <c r="F19" i="3"/>
  <c r="H19" i="3" s="1"/>
  <c r="F20" i="3"/>
  <c r="H20" i="3" s="1"/>
  <c r="F28" i="3"/>
  <c r="F22" i="3"/>
  <c r="F27" i="3"/>
  <c r="C13" i="7"/>
  <c r="F5" i="7" s="1"/>
  <c r="G5" i="7" s="1"/>
  <c r="F12" i="3"/>
  <c r="H12" i="3" s="1"/>
  <c r="F13" i="3"/>
  <c r="H13" i="3" s="1"/>
  <c r="F15" i="3"/>
  <c r="F4" i="3"/>
  <c r="F29" i="3"/>
  <c r="F30" i="3"/>
  <c r="F31" i="3"/>
  <c r="F32" i="3"/>
  <c r="F45" i="3"/>
  <c r="F46" i="3"/>
  <c r="F47" i="3"/>
  <c r="F48" i="3"/>
  <c r="F33" i="3"/>
  <c r="F36" i="3"/>
  <c r="H36" i="3" s="1"/>
  <c r="F37" i="3"/>
  <c r="H37" i="3" s="1"/>
  <c r="F44" i="3"/>
  <c r="F39" i="3"/>
  <c r="F43" i="3"/>
  <c r="F62" i="3"/>
  <c r="F63" i="3"/>
  <c r="F64" i="3"/>
  <c r="F65" i="3"/>
  <c r="F49" i="3"/>
  <c r="F56" i="3"/>
  <c r="F52" i="3"/>
  <c r="H52" i="3" s="1"/>
  <c r="F53" i="3"/>
  <c r="H53" i="3" s="1"/>
  <c r="F55" i="3"/>
  <c r="D66" i="3"/>
  <c r="E66" i="3"/>
  <c r="D67" i="3"/>
  <c r="E67" i="3"/>
  <c r="E68" i="3"/>
  <c r="E114" i="3"/>
  <c r="E69" i="3"/>
  <c r="F60" i="3"/>
  <c r="F85" i="3"/>
  <c r="F86" i="3"/>
  <c r="F87" i="3"/>
  <c r="F88" i="3"/>
  <c r="F76" i="3"/>
  <c r="H76" i="3" s="1"/>
  <c r="F79" i="3"/>
  <c r="F81" i="3"/>
  <c r="F84" i="3"/>
  <c r="F78" i="3"/>
  <c r="D89" i="3"/>
  <c r="E89" i="3"/>
  <c r="D90" i="3"/>
  <c r="E90" i="3"/>
  <c r="E91" i="3"/>
  <c r="E92" i="3"/>
  <c r="F83" i="3"/>
  <c r="G4" i="1"/>
  <c r="G5" i="1"/>
  <c r="F107" i="3"/>
  <c r="H107" i="3" s="1"/>
  <c r="F108" i="3"/>
  <c r="F109" i="3"/>
  <c r="H109" i="3" s="1"/>
  <c r="F110" i="3"/>
  <c r="F94" i="3"/>
  <c r="H94" i="3" s="1"/>
  <c r="F101" i="3"/>
  <c r="H101" i="3" s="1"/>
  <c r="F97" i="3"/>
  <c r="H97" i="3" s="1"/>
  <c r="F98" i="3"/>
  <c r="H98" i="3" s="1"/>
  <c r="F103" i="3"/>
  <c r="H103" i="3" s="1"/>
  <c r="F106" i="3"/>
  <c r="F100" i="3"/>
  <c r="H100" i="3" s="1"/>
  <c r="D111" i="3"/>
  <c r="E111" i="3"/>
  <c r="D112" i="3"/>
  <c r="E112" i="3"/>
  <c r="E113" i="3"/>
  <c r="F105" i="3"/>
  <c r="H105" i="3" s="1"/>
  <c r="H4" i="1"/>
  <c r="H5" i="1"/>
  <c r="C6" i="8"/>
  <c r="E18" i="6"/>
  <c r="E19" i="6"/>
  <c r="E20" i="6"/>
  <c r="E21" i="6"/>
  <c r="C22" i="6"/>
  <c r="C23" i="6"/>
  <c r="E5" i="6"/>
  <c r="E6" i="6"/>
  <c r="E8" i="6"/>
  <c r="G8" i="6" s="1"/>
  <c r="E9" i="6"/>
  <c r="G9" i="6" s="1"/>
  <c r="E14" i="6"/>
  <c r="E17" i="6"/>
  <c r="E11" i="6"/>
  <c r="E16" i="6"/>
  <c r="C17" i="9"/>
  <c r="C18" i="9"/>
  <c r="I4" i="1"/>
  <c r="I5" i="1"/>
  <c r="G14" i="6" l="1"/>
  <c r="G6" i="6"/>
  <c r="G10" i="6"/>
  <c r="G12" i="6"/>
  <c r="G11" i="6"/>
  <c r="G19" i="6"/>
  <c r="G18" i="6"/>
  <c r="G5" i="6"/>
  <c r="G21" i="6"/>
  <c r="G20" i="6"/>
  <c r="G16" i="6"/>
  <c r="G17" i="6"/>
  <c r="H110" i="3"/>
  <c r="H108" i="3"/>
  <c r="H106" i="3"/>
  <c r="H81" i="3"/>
  <c r="H79" i="3"/>
  <c r="H83" i="3"/>
  <c r="H72" i="3"/>
  <c r="H84" i="3"/>
  <c r="H88" i="3"/>
  <c r="H87" i="3"/>
  <c r="H86" i="3"/>
  <c r="H85" i="3"/>
  <c r="H78" i="3"/>
  <c r="H77" i="3"/>
  <c r="H63" i="3"/>
  <c r="H61" i="3"/>
  <c r="H62" i="3"/>
  <c r="H55" i="3"/>
  <c r="H56" i="3"/>
  <c r="H60" i="3"/>
  <c r="H49" i="3"/>
  <c r="H65" i="3"/>
  <c r="H54" i="3"/>
  <c r="H64" i="3"/>
  <c r="H46" i="3"/>
  <c r="H40" i="3"/>
  <c r="H39" i="3"/>
  <c r="H44" i="3"/>
  <c r="H45" i="3"/>
  <c r="H43" i="3"/>
  <c r="H33" i="3"/>
  <c r="H48" i="3"/>
  <c r="H47" i="3"/>
  <c r="H38" i="3"/>
  <c r="H22" i="3"/>
  <c r="H28" i="3"/>
  <c r="H31" i="3"/>
  <c r="H23" i="3"/>
  <c r="H32" i="3"/>
  <c r="H29" i="3"/>
  <c r="H30" i="3"/>
  <c r="H4" i="3"/>
  <c r="H15" i="3"/>
  <c r="C9" i="2" s="1"/>
  <c r="H14" i="3"/>
  <c r="C8" i="2" s="1"/>
  <c r="H16" i="3"/>
  <c r="H21" i="3"/>
  <c r="H27" i="3"/>
  <c r="E5" i="1"/>
  <c r="E7" i="1" s="1"/>
  <c r="D14" i="2" s="1"/>
  <c r="F5" i="1"/>
  <c r="F7" i="1" s="1"/>
  <c r="E14" i="2" s="1"/>
  <c r="D5" i="1"/>
  <c r="D7" i="1" s="1"/>
  <c r="C14" i="2" s="1"/>
  <c r="H7" i="1"/>
  <c r="G7" i="1"/>
  <c r="I7" i="1"/>
  <c r="I44" i="1"/>
  <c r="E44" i="1"/>
  <c r="H44" i="1"/>
  <c r="D44" i="1"/>
  <c r="G44" i="1"/>
  <c r="F44" i="1"/>
  <c r="C8" i="16"/>
  <c r="E15" i="6"/>
  <c r="F89" i="3"/>
  <c r="C4" i="14"/>
  <c r="F4" i="14" s="1"/>
  <c r="F20" i="11"/>
  <c r="C7" i="7" s="1"/>
  <c r="E23" i="6"/>
  <c r="E24" i="6"/>
  <c r="F92" i="3"/>
  <c r="E22" i="6"/>
  <c r="C5" i="2"/>
  <c r="F18" i="14"/>
  <c r="G18" i="14" s="1"/>
  <c r="F5" i="14"/>
  <c r="G5" i="14" s="1"/>
  <c r="F111" i="3"/>
  <c r="F113" i="3"/>
  <c r="F67" i="3"/>
  <c r="F66" i="3"/>
  <c r="F9" i="3"/>
  <c r="H9" i="3" s="1"/>
  <c r="F112" i="3"/>
  <c r="H112" i="3" s="1"/>
  <c r="F69" i="3"/>
  <c r="H69" i="3" s="1"/>
  <c r="F114" i="3"/>
  <c r="H114" i="3" s="1"/>
  <c r="F91" i="3"/>
  <c r="F68" i="3"/>
  <c r="F90" i="3"/>
  <c r="F10" i="3"/>
  <c r="H10" i="3" s="1"/>
  <c r="G22" i="6" l="1"/>
  <c r="G23" i="6"/>
  <c r="G15" i="6"/>
  <c r="G24" i="6"/>
  <c r="H111" i="3"/>
  <c r="H113" i="3"/>
  <c r="H89" i="3"/>
  <c r="H91" i="3"/>
  <c r="H90" i="3"/>
  <c r="H92" i="3"/>
  <c r="H68" i="3"/>
  <c r="H67" i="3"/>
  <c r="H66" i="3"/>
  <c r="D33" i="1"/>
  <c r="C4" i="2"/>
  <c r="I33" i="1"/>
  <c r="H33" i="1"/>
  <c r="F33" i="1"/>
  <c r="G33" i="1"/>
  <c r="E33" i="1"/>
  <c r="H14" i="2"/>
  <c r="F14" i="2"/>
  <c r="G14" i="2"/>
  <c r="F82" i="3"/>
  <c r="F59" i="3"/>
  <c r="F42" i="3"/>
  <c r="F104" i="3"/>
  <c r="F26" i="3"/>
  <c r="F20" i="14"/>
  <c r="D7" i="7" s="1"/>
  <c r="F7" i="7" s="1"/>
  <c r="G7" i="7" s="1"/>
  <c r="D46" i="1" s="1"/>
  <c r="C9" i="7"/>
  <c r="F9" i="7" s="1"/>
  <c r="G9" i="7" s="1"/>
  <c r="C8" i="7"/>
  <c r="C24" i="7" s="1"/>
  <c r="E24" i="7" s="1"/>
  <c r="G24" i="7" s="1"/>
  <c r="G4" i="14"/>
  <c r="G20" i="14" s="1"/>
  <c r="C20" i="14"/>
  <c r="C27" i="7"/>
  <c r="E27" i="7" s="1"/>
  <c r="G27" i="7" s="1"/>
  <c r="C6" i="7"/>
  <c r="F6" i="7" s="1"/>
  <c r="G6" i="7" s="1"/>
  <c r="D45" i="1" s="1"/>
  <c r="E25" i="6"/>
  <c r="G25" i="6" l="1"/>
  <c r="H104" i="3"/>
  <c r="H82" i="3"/>
  <c r="H59" i="3"/>
  <c r="H42" i="3"/>
  <c r="H26" i="3"/>
  <c r="F42" i="1"/>
  <c r="E42" i="1"/>
  <c r="D42" i="1"/>
  <c r="I26" i="1"/>
  <c r="I27" i="1" s="1"/>
  <c r="I28" i="1" s="1"/>
  <c r="I34" i="1" s="1"/>
  <c r="C22" i="7"/>
  <c r="E22" i="7" s="1"/>
  <c r="G22" i="7" s="1"/>
  <c r="F36" i="1" s="1"/>
  <c r="H20" i="14"/>
  <c r="G28" i="7" s="1"/>
  <c r="F11" i="7"/>
  <c r="G11" i="7" s="1"/>
  <c r="C25" i="7"/>
  <c r="E25" i="7" s="1"/>
  <c r="G25" i="7" s="1"/>
  <c r="D40" i="1" s="1"/>
  <c r="H46" i="1"/>
  <c r="F46" i="1"/>
  <c r="E46" i="1"/>
  <c r="G46" i="1"/>
  <c r="I46" i="1"/>
  <c r="G26" i="1"/>
  <c r="G27" i="1" s="1"/>
  <c r="G28" i="1" s="1"/>
  <c r="G34" i="1" s="1"/>
  <c r="H26" i="1"/>
  <c r="H27" i="1" s="1"/>
  <c r="H28" i="1" s="1"/>
  <c r="H34" i="1" s="1"/>
  <c r="E26" i="1"/>
  <c r="E27" i="1" s="1"/>
  <c r="E28" i="1" s="1"/>
  <c r="E34" i="1" s="1"/>
  <c r="F8" i="7"/>
  <c r="G8" i="7" s="1"/>
  <c r="H47" i="1" s="1"/>
  <c r="F26" i="1"/>
  <c r="F27" i="1" s="1"/>
  <c r="F28" i="1" s="1"/>
  <c r="F45" i="1"/>
  <c r="C10" i="7"/>
  <c r="D26" i="1"/>
  <c r="D27" i="1" s="1"/>
  <c r="E45" i="1"/>
  <c r="G45" i="1"/>
  <c r="I45" i="1"/>
  <c r="H45" i="1"/>
  <c r="E48" i="1"/>
  <c r="G48" i="1"/>
  <c r="D48" i="1"/>
  <c r="H48" i="1"/>
  <c r="F48" i="1"/>
  <c r="I48" i="1"/>
  <c r="I42" i="1"/>
  <c r="G42" i="1"/>
  <c r="H42" i="1"/>
  <c r="H39" i="1"/>
  <c r="I39" i="1"/>
  <c r="D39" i="1"/>
  <c r="G39" i="1"/>
  <c r="F39" i="1"/>
  <c r="E39" i="1"/>
  <c r="F50" i="1" l="1"/>
  <c r="E50" i="1"/>
  <c r="D50" i="1"/>
  <c r="H35" i="1"/>
  <c r="G35" i="1"/>
  <c r="E35" i="1"/>
  <c r="I35" i="1"/>
  <c r="C5" i="16"/>
  <c r="F29" i="1"/>
  <c r="F34" i="1"/>
  <c r="G29" i="1"/>
  <c r="E29" i="1"/>
  <c r="H29" i="1"/>
  <c r="I29"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c r="F43" i="1" l="1"/>
  <c r="F35" i="1"/>
  <c r="D29" i="1"/>
  <c r="D34" i="1"/>
  <c r="D43" i="1"/>
  <c r="I43" i="1"/>
  <c r="H43" i="1"/>
  <c r="E43" i="1"/>
  <c r="C11" i="2"/>
  <c r="C12" i="2" s="1"/>
  <c r="F16" i="2"/>
  <c r="D5" i="16"/>
  <c r="E5" i="16" s="1"/>
  <c r="G16" i="2"/>
  <c r="D16" i="2"/>
  <c r="E16" i="2"/>
  <c r="H16" i="2"/>
  <c r="I49" i="1"/>
  <c r="G49" i="1"/>
  <c r="F49" i="1"/>
  <c r="E49" i="1"/>
  <c r="D49" i="1"/>
  <c r="H49" i="1"/>
  <c r="I41" i="1"/>
  <c r="H41" i="1"/>
  <c r="H55" i="1" s="1"/>
  <c r="G41" i="1"/>
  <c r="G55" i="1" s="1"/>
  <c r="D41" i="1"/>
  <c r="F41" i="1"/>
  <c r="F55" i="1" s="1"/>
  <c r="E41" i="1"/>
  <c r="E55" i="1" s="1"/>
  <c r="I55" i="1" l="1"/>
  <c r="D35" i="1"/>
  <c r="D55" i="1"/>
  <c r="D54" i="1"/>
  <c r="D56" i="1" s="1"/>
  <c r="D57" i="1" s="1"/>
  <c r="D59" i="1" s="1"/>
  <c r="E51" i="1" s="1"/>
  <c r="C6" i="16"/>
  <c r="D6" i="16" s="1"/>
  <c r="E6" i="16" s="1"/>
  <c r="C16" i="2"/>
  <c r="D58" i="1" l="1"/>
  <c r="E54" i="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8" i="8" s="1"/>
  <c r="H58" i="1" l="1"/>
  <c r="I53" i="1"/>
  <c r="C7" i="16" l="1"/>
  <c r="D7" i="16" s="1"/>
  <c r="E7" i="16" s="1"/>
  <c r="I54" i="1"/>
  <c r="I56" i="1" s="1"/>
  <c r="I57" i="1" s="1"/>
  <c r="I58" i="1" s="1"/>
  <c r="D6" i="9" l="1"/>
  <c r="F5" i="9"/>
  <c r="D9" i="9"/>
  <c r="F9" i="9"/>
  <c r="F6" i="9"/>
  <c r="E6" i="9"/>
  <c r="E5" i="9"/>
  <c r="E9" i="9"/>
  <c r="F4" i="9"/>
  <c r="D5" i="9"/>
  <c r="D4" i="9"/>
  <c r="E4" i="9"/>
  <c r="F8" i="9"/>
  <c r="E7" i="9"/>
  <c r="F7" i="9"/>
  <c r="E8" i="9"/>
  <c r="D7" i="9"/>
  <c r="D8" i="9"/>
</calcChain>
</file>

<file path=xl/sharedStrings.xml><?xml version="1.0" encoding="utf-8"?>
<sst xmlns="http://schemas.openxmlformats.org/spreadsheetml/2006/main" count="862" uniqueCount="491">
  <si>
    <t>By R. Karina Gallardo, Suzette P. Galinato and Bernardita Sallato</t>
  </si>
  <si>
    <t>Instructions for Using the Spreadsheets</t>
  </si>
  <si>
    <t>1.</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</si>
  <si>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</si>
  <si>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2.</t>
  </si>
  <si>
    <r>
      <t xml:space="preserve">Values in </t>
    </r>
    <r>
      <rPr>
        <b/>
        <sz val="11"/>
        <rFont val="Times New Roman"/>
        <family val="1"/>
      </rPr>
      <t>black</t>
    </r>
    <r>
      <rPr>
        <sz val="11"/>
        <rFont val="Times New Roman"/>
        <family val="1"/>
      </rPr>
      <t xml:space="preserve"> are calculated using the input data and cannot be modified.</t>
    </r>
  </si>
  <si>
    <t>3.</t>
  </si>
  <si>
    <t>4.</t>
  </si>
  <si>
    <t xml:space="preserve">Budget Assumptions </t>
  </si>
  <si>
    <t>The area of the total farm operation is 300 acres of mixed conventional tree fruits. Bearing acres include: 225 acres of apples (75% of total area); 48 acres of sweet cherries (16%), and 27 acres of pears (9%).</t>
  </si>
  <si>
    <t>The total value of bare agricultural land (including senior water rights) is $20,000 per acre with annual property taxes of $200 per acre.</t>
  </si>
  <si>
    <t>The irrigation system consists of overhead cooling and under tree drip lines, with two separate sub-main lines. Water is provided through a public irrigation district.</t>
  </si>
  <si>
    <t>5.</t>
  </si>
  <si>
    <t>The pond is installed in Year 1.</t>
  </si>
  <si>
    <t>6.</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</si>
  <si>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</si>
  <si>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10.</t>
  </si>
  <si>
    <t>The gross return is $35 per 40-lb box or $647.50 per 925-lb bin.</t>
  </si>
  <si>
    <t>11.</t>
  </si>
  <si>
    <r>
      <t>Average pack-out for Cosmic Crisp</t>
    </r>
    <r>
      <rPr>
        <vertAlign val="superscript"/>
        <sz val="11"/>
        <rFont val="Times New Roman"/>
        <family val="1"/>
      </rPr>
      <t>®</t>
    </r>
    <r>
      <rPr>
        <sz val="11"/>
        <rFont val="Times New Roman"/>
        <family val="1"/>
      </rPr>
      <t xml:space="preserve"> is 80%.</t>
    </r>
  </si>
  <si>
    <t>12.</t>
  </si>
  <si>
    <t xml:space="preserve">Warehouse packing charges assume a 925-lb bin. </t>
  </si>
  <si>
    <t>13.</t>
  </si>
  <si>
    <t>14.</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</si>
  <si>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</si>
  <si>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15.</t>
  </si>
  <si>
    <r>
      <t>The Cosmic Crisp</t>
    </r>
    <r>
      <rPr>
        <vertAlign val="superscript"/>
        <sz val="11"/>
        <rFont val="Times New Roman"/>
        <family val="1"/>
      </rPr>
      <t>®</t>
    </r>
    <r>
      <rPr>
        <sz val="11"/>
        <rFont val="Times New Roman"/>
        <family val="1"/>
      </rPr>
      <t xml:space="preserve"> block specifications are as follows:</t>
    </r>
  </si>
  <si>
    <t>Architecture</t>
  </si>
  <si>
    <t>Train each level branches straight down to the wire</t>
  </si>
  <si>
    <t>In-row Spacing</t>
  </si>
  <si>
    <t>2 feet</t>
  </si>
  <si>
    <t>Between-row Spacing</t>
  </si>
  <si>
    <t>10 feet</t>
  </si>
  <si>
    <t>Rootstock</t>
  </si>
  <si>
    <t>G-41</t>
  </si>
  <si>
    <t>Productive Block Size</t>
  </si>
  <si>
    <t xml:space="preserve">10 acres </t>
  </si>
  <si>
    <t>Life of Planting</t>
  </si>
  <si>
    <t>20 years</t>
  </si>
  <si>
    <t>Tree Density</t>
  </si>
  <si>
    <t>Trellis System</t>
  </si>
  <si>
    <t xml:space="preserve"> Year 1</t>
  </si>
  <si>
    <t>Year 2</t>
  </si>
  <si>
    <t>Year 3</t>
  </si>
  <si>
    <t>Year 4</t>
  </si>
  <si>
    <t>Year 5</t>
  </si>
  <si>
    <t>TOTAL RETURNS ($/acre)</t>
  </si>
  <si>
    <t>Soil Preparation</t>
  </si>
  <si>
    <t>Trees (including labor)</t>
  </si>
  <si>
    <t>Irrigation Water &amp; Electric Charge</t>
  </si>
  <si>
    <r>
      <t>Frost Protection (labor)</t>
    </r>
    <r>
      <rPr>
        <vertAlign val="superscript"/>
        <sz val="11"/>
        <rFont val="Times New Roman"/>
        <family val="1"/>
      </rPr>
      <t>G</t>
    </r>
  </si>
  <si>
    <t>Beehives</t>
  </si>
  <si>
    <r>
      <t>General Farm Labor</t>
    </r>
    <r>
      <rPr>
        <vertAlign val="superscript"/>
        <sz val="11"/>
        <rFont val="Times New Roman"/>
        <family val="1"/>
      </rPr>
      <t>I</t>
    </r>
  </si>
  <si>
    <t>Picking Labor</t>
  </si>
  <si>
    <t>Other Labor (checkers, tractor drivers, supervisors)</t>
  </si>
  <si>
    <t>Hauling Apples</t>
  </si>
  <si>
    <t>Maintenance &amp; Repair</t>
  </si>
  <si>
    <t>Fuel &amp; Lube</t>
  </si>
  <si>
    <t>Total Variable Costs</t>
  </si>
  <si>
    <t>Miscellaneous Supplies</t>
  </si>
  <si>
    <t>Land &amp; Property Taxes</t>
  </si>
  <si>
    <t>Insurance Cost (crop and farm)</t>
  </si>
  <si>
    <t>Total Fixed Cash Cost</t>
  </si>
  <si>
    <t>Total Cash Costs</t>
  </si>
  <si>
    <t>Return over Cash Costs</t>
  </si>
  <si>
    <t>Depreciation</t>
  </si>
  <si>
    <t>Irrigation System</t>
  </si>
  <si>
    <t>Machinery, Equipment, &amp; Building</t>
  </si>
  <si>
    <t>Mainline &amp; Pump</t>
  </si>
  <si>
    <t>Pond</t>
  </si>
  <si>
    <t>Trellis</t>
  </si>
  <si>
    <t>Wind Machine</t>
  </si>
  <si>
    <t>Interest</t>
  </si>
  <si>
    <t xml:space="preserve">Wind Machine </t>
  </si>
  <si>
    <t>Establishment Costs (5%)</t>
  </si>
  <si>
    <t>Management Cost</t>
  </si>
  <si>
    <t>Total Fixed Non-Cash Costs</t>
  </si>
  <si>
    <t>Return over Cash Costs and Depreciation</t>
  </si>
  <si>
    <t>Total Fixed Costs</t>
  </si>
  <si>
    <t>ESTIMATED NET RETURNS</t>
  </si>
  <si>
    <t>Accumulated Establishment Costs</t>
  </si>
  <si>
    <t>Notes:</t>
  </si>
  <si>
    <r>
      <t>Gross Yield (bins/acre)</t>
    </r>
    <r>
      <rPr>
        <b/>
        <vertAlign val="superscript"/>
        <sz val="11"/>
        <rFont val="Times New Roman"/>
        <family val="1"/>
      </rPr>
      <t>B</t>
    </r>
  </si>
  <si>
    <r>
      <t>Net Yield (bins/acre)</t>
    </r>
    <r>
      <rPr>
        <b/>
        <vertAlign val="superscript"/>
        <sz val="11"/>
        <rFont val="Times New Roman"/>
        <family val="1"/>
      </rPr>
      <t>B</t>
    </r>
  </si>
  <si>
    <t>Overhead cost</t>
  </si>
  <si>
    <t>Interest cost</t>
  </si>
  <si>
    <t xml:space="preserve">A. Includes amortized establishment costs. Net return is what the grower receives after all costs (for example, production expenses and packing costs) have been accounted. </t>
  </si>
  <si>
    <t>B. Assumes a 925-lb bin. Considers an average pack-out of:</t>
  </si>
  <si>
    <t>Cost ($/acre)</t>
  </si>
  <si>
    <t>D</t>
  </si>
  <si>
    <t>E</t>
  </si>
  <si>
    <t>Total Cost</t>
  </si>
  <si>
    <t>G</t>
  </si>
  <si>
    <t>Net Yield (bin/acre) =</t>
  </si>
  <si>
    <t>Land (11 acres)</t>
  </si>
  <si>
    <t>Sunburn Protection - Netting</t>
  </si>
  <si>
    <r>
      <t>Operating Expenses</t>
    </r>
    <r>
      <rPr>
        <vertAlign val="superscript"/>
        <sz val="11"/>
        <rFont val="Times New Roman"/>
        <family val="1"/>
      </rPr>
      <t>B</t>
    </r>
  </si>
  <si>
    <t>Total Requirements ($)</t>
  </si>
  <si>
    <t>Receipts ($)</t>
  </si>
  <si>
    <t>Net Requirements ($)</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</si>
  <si>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</si>
  <si>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B. Operating expenses is the sum of the total variable costs, miscellaneous supplies, land and property taxes, insurance cost, and management cost.</t>
  </si>
  <si>
    <t>Description</t>
  </si>
  <si>
    <r>
      <t>Purchase Price ($)</t>
    </r>
    <r>
      <rPr>
        <b/>
        <vertAlign val="superscript"/>
        <sz val="11"/>
        <rFont val="Times New Roman"/>
        <family val="1"/>
      </rPr>
      <t>A</t>
    </r>
  </si>
  <si>
    <t>Number of Units</t>
  </si>
  <si>
    <t>Total Cost ($)</t>
  </si>
  <si>
    <t>Housing for Manager</t>
  </si>
  <si>
    <r>
      <t>Machine Shop/Shed</t>
    </r>
    <r>
      <rPr>
        <vertAlign val="superscript"/>
        <sz val="11"/>
        <color theme="9" tint="-0.249977111117893"/>
        <rFont val="Times New Roman"/>
        <family val="1"/>
      </rPr>
      <t>B</t>
    </r>
  </si>
  <si>
    <t>Tractor-70HP, 4WD</t>
  </si>
  <si>
    <t>70HP, 4WD</t>
  </si>
  <si>
    <t>Tractor-40HP, 4WD</t>
  </si>
  <si>
    <t>40HP, 4WD</t>
  </si>
  <si>
    <t>4-Wheeler</t>
  </si>
  <si>
    <t>2WD</t>
  </si>
  <si>
    <t>Speed Sprayer</t>
  </si>
  <si>
    <t>Weed Spray Boom &amp; Tank</t>
  </si>
  <si>
    <t>Mower-Rotary</t>
  </si>
  <si>
    <t>7 ft</t>
  </si>
  <si>
    <t>Flail Mower</t>
  </si>
  <si>
    <t>Fork Lift</t>
  </si>
  <si>
    <t>Bin Trailer</t>
  </si>
  <si>
    <t>Pickup Truck</t>
  </si>
  <si>
    <t>Full size</t>
  </si>
  <si>
    <t>Ladder</t>
  </si>
  <si>
    <t>8 ft</t>
  </si>
  <si>
    <t>Platforms</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</si>
  <si>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</si>
  <si>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</si>
  <si>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 xml:space="preserve">Notes: </t>
  </si>
  <si>
    <r>
      <t>Machinery, equipment, and building requirements are utilized in growing diverse crops in the 300-acre farm, which include Cosmic Crisp</t>
    </r>
    <r>
      <rPr>
        <vertAlign val="superscript"/>
        <sz val="10"/>
        <rFont val="Times New Roman"/>
        <family val="1"/>
      </rPr>
      <t>®</t>
    </r>
    <r>
      <rPr>
        <sz val="10"/>
        <rFont val="Times New Roman"/>
        <family val="1"/>
      </rPr>
      <t xml:space="preserve"> apples. The costs of fixed capital are allocated on the entire farm operation.</t>
    </r>
  </si>
  <si>
    <t>A. Purchase price corresponds to new machinery, equipment or building.</t>
  </si>
  <si>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</si>
  <si>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</si>
  <si>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</si>
  <si>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t>Total Purchase Price ($)</t>
  </si>
  <si>
    <r>
      <t>Salvage Value ($)</t>
    </r>
    <r>
      <rPr>
        <b/>
        <vertAlign val="superscript"/>
        <sz val="11"/>
        <color indexed="8"/>
        <rFont val="Times New Roman"/>
        <family val="1"/>
      </rPr>
      <t>A</t>
    </r>
  </si>
  <si>
    <t>Number of Acres</t>
  </si>
  <si>
    <t>Total Interest Cost ($)</t>
  </si>
  <si>
    <r>
      <t>Interest Cost Per Acre ($)</t>
    </r>
    <r>
      <rPr>
        <b/>
        <vertAlign val="superscript"/>
        <sz val="11"/>
        <color indexed="8"/>
        <rFont val="Times New Roman"/>
        <family val="1"/>
      </rPr>
      <t>B</t>
    </r>
  </si>
  <si>
    <r>
      <t>Irrigation System</t>
    </r>
    <r>
      <rPr>
        <vertAlign val="superscript"/>
        <sz val="11"/>
        <rFont val="Times New Roman"/>
        <family val="1"/>
      </rPr>
      <t>C</t>
    </r>
  </si>
  <si>
    <r>
      <t>Sunburn Protection - Netting</t>
    </r>
    <r>
      <rPr>
        <vertAlign val="superscript"/>
        <sz val="11"/>
        <rFont val="Times New Roman"/>
        <family val="1"/>
      </rPr>
      <t>C</t>
    </r>
  </si>
  <si>
    <t>Land</t>
  </si>
  <si>
    <t>N/A</t>
  </si>
  <si>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</si>
  <si>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</si>
  <si>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</si>
  <si>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</si>
  <si>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</si>
  <si>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t>Interest Rate</t>
  </si>
  <si>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</si>
  <si>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</si>
  <si>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C. The irrigation system, reflective ground cloth for sunburn protection, mainline and pump, pond, trellis system and wind machine are used for the direct production of  the fruit. Hence, their respective interest costs are divided by the production area (10 acres) to get the interest cost per acre.</t>
  </si>
  <si>
    <t>D. Total area of the farm operation is 300 acres and the machinery, equipment, and building are used in the entire, diverse cultivar farm. Thus, the corresponding interest costs are divided by the total area (300 acres) to derive the interest cost per acre.</t>
  </si>
  <si>
    <t>Total Value Per Acre ($)</t>
  </si>
  <si>
    <t>Years of Useful Life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</si>
  <si>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</si>
  <si>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</si>
  <si>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</si>
  <si>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t>Cost per Unit ($)</t>
  </si>
  <si>
    <t>Units per Acre</t>
  </si>
  <si>
    <t>Cost per Acre ($)</t>
  </si>
  <si>
    <t>Total Cost for Block ($)</t>
  </si>
  <si>
    <t>Year 1</t>
  </si>
  <si>
    <t>Mainline and Pump</t>
  </si>
  <si>
    <r>
      <t>Pond and filters with liners (custom)</t>
    </r>
    <r>
      <rPr>
        <vertAlign val="superscript"/>
        <sz val="11"/>
        <rFont val="Times New Roman"/>
        <family val="1"/>
      </rPr>
      <t>B</t>
    </r>
  </si>
  <si>
    <r>
      <t>Pruning and Training (labor)</t>
    </r>
    <r>
      <rPr>
        <vertAlign val="superscript"/>
        <sz val="11"/>
        <rFont val="Times New Roman"/>
        <family val="1"/>
      </rPr>
      <t>C</t>
    </r>
  </si>
  <si>
    <r>
      <t>Thinning (labor)</t>
    </r>
    <r>
      <rPr>
        <vertAlign val="superscript"/>
        <sz val="11"/>
        <rFont val="Times New Roman"/>
        <family val="1"/>
      </rPr>
      <t>D</t>
    </r>
  </si>
  <si>
    <r>
      <t>Chemicals</t>
    </r>
    <r>
      <rPr>
        <vertAlign val="superscript"/>
        <sz val="11"/>
        <rFont val="Times New Roman"/>
        <family val="1"/>
      </rPr>
      <t>E</t>
    </r>
  </si>
  <si>
    <t>Irrigation Water</t>
  </si>
  <si>
    <t>Irrigation/Electric Charge</t>
  </si>
  <si>
    <r>
      <t>Irrigation Labor</t>
    </r>
    <r>
      <rPr>
        <vertAlign val="superscript"/>
        <sz val="11"/>
        <rFont val="Times New Roman"/>
        <family val="1"/>
      </rPr>
      <t>I</t>
    </r>
  </si>
  <si>
    <r>
      <t>Wind Machine (unit and installation labor)</t>
    </r>
    <r>
      <rPr>
        <vertAlign val="superscript"/>
        <sz val="11"/>
        <rFont val="Times New Roman"/>
        <family val="1"/>
      </rPr>
      <t>J</t>
    </r>
  </si>
  <si>
    <r>
      <t>Maintenance &amp; Repair</t>
    </r>
    <r>
      <rPr>
        <vertAlign val="superscript"/>
        <sz val="11"/>
        <rFont val="Times New Roman"/>
        <family val="1"/>
      </rPr>
      <t>K</t>
    </r>
  </si>
  <si>
    <r>
      <t>Fuel &amp; Lube</t>
    </r>
    <r>
      <rPr>
        <vertAlign val="superscript"/>
        <sz val="11"/>
        <rFont val="Times New Roman"/>
        <family val="1"/>
      </rPr>
      <t>L</t>
    </r>
  </si>
  <si>
    <r>
      <t>General Farm Labor</t>
    </r>
    <r>
      <rPr>
        <vertAlign val="superscript"/>
        <sz val="11"/>
        <rFont val="Times New Roman"/>
        <family val="1"/>
      </rPr>
      <t>M</t>
    </r>
  </si>
  <si>
    <t>Insurance (all farm)</t>
  </si>
  <si>
    <r>
      <t>Management Overhead</t>
    </r>
    <r>
      <rPr>
        <vertAlign val="superscript"/>
        <sz val="11"/>
        <rFont val="Times New Roman"/>
        <family val="1"/>
      </rPr>
      <t>N</t>
    </r>
  </si>
  <si>
    <r>
      <t>Irrigation LaborI</t>
    </r>
    <r>
      <rPr>
        <vertAlign val="superscript"/>
        <sz val="11"/>
        <rFont val="Times New Roman"/>
        <family val="1"/>
      </rPr>
      <t>I</t>
    </r>
  </si>
  <si>
    <t>Packing Costs (per bin)</t>
  </si>
  <si>
    <t>A. Includes land for roads and buildings.</t>
  </si>
  <si>
    <t xml:space="preserve">B. Costs assume a lined pond.  </t>
  </si>
  <si>
    <t>C. Hand labor rate is $23.75/hour and includes applicable taxes and benefits. Applied to pruning, training and weed control.</t>
  </si>
  <si>
    <t>D. Hand thinning and chemical thinning labor cost.</t>
  </si>
  <si>
    <t>E. Includes the costs of materials and labor.</t>
  </si>
  <si>
    <t>F. Includes all types of fertilizer used.</t>
  </si>
  <si>
    <t>G. Tractor/machinery or higher skilled labor rate is $24.75/hour and includes applicable taxes and benefits. This rate is applied to fertilizer labor application (after soil preparation) and frost protection labor.</t>
  </si>
  <si>
    <t>H. There is no labor from Years 1 to 2 because fertilizer application is all done through fertigation.</t>
  </si>
  <si>
    <t>I. Chemical application labor and irrigation labor are $27.79/hour, including applicable taxes and benefits.</t>
  </si>
  <si>
    <t>J. Wind machine installation labor is $20.25/hour and includes applicable taxes and benefits.</t>
  </si>
  <si>
    <t>K. Includes maintenance and repairs of mainline, pump and pond; irrigation system; trellis system; wind machine and alarm system and machinery.</t>
  </si>
  <si>
    <t>L. Fuel and lube cost includes propane cost for wind machine starting Year 3.</t>
  </si>
  <si>
    <t>M.  Refers to miscellaneous or all other labor (lump sum). Rate includes applicable taxes and benefits.</t>
  </si>
  <si>
    <t>N. Includes management salary, cellphone, gas, etc.</t>
  </si>
  <si>
    <r>
      <t>Pruning and Training (labor)</t>
    </r>
    <r>
      <rPr>
        <vertAlign val="superscript"/>
        <sz val="11"/>
        <rFont val="Times New Roman"/>
        <family val="1"/>
      </rPr>
      <t>A</t>
    </r>
  </si>
  <si>
    <r>
      <t>Thinning (labor)</t>
    </r>
    <r>
      <rPr>
        <vertAlign val="superscript"/>
        <sz val="11"/>
        <rFont val="Times New Roman"/>
        <family val="1"/>
      </rPr>
      <t>B</t>
    </r>
  </si>
  <si>
    <r>
      <t>Chemicals</t>
    </r>
    <r>
      <rPr>
        <vertAlign val="superscript"/>
        <sz val="11"/>
        <rFont val="Times New Roman"/>
        <family val="1"/>
      </rPr>
      <t>C</t>
    </r>
  </si>
  <si>
    <r>
      <t>Irrigation Labor</t>
    </r>
    <r>
      <rPr>
        <vertAlign val="superscript"/>
        <sz val="11"/>
        <rFont val="Times New Roman"/>
        <family val="1"/>
      </rPr>
      <t>F</t>
    </r>
  </si>
  <si>
    <r>
      <t>Frost Protection (labor)</t>
    </r>
    <r>
      <rPr>
        <vertAlign val="superscript"/>
        <sz val="11"/>
        <rFont val="Times New Roman"/>
        <family val="1"/>
      </rPr>
      <t>E</t>
    </r>
  </si>
  <si>
    <r>
      <t>Maintenance &amp; Repair</t>
    </r>
    <r>
      <rPr>
        <vertAlign val="superscript"/>
        <sz val="11"/>
        <rFont val="Times New Roman"/>
        <family val="1"/>
      </rPr>
      <t>G</t>
    </r>
  </si>
  <si>
    <r>
      <t>Fuel &amp; Lube</t>
    </r>
    <r>
      <rPr>
        <vertAlign val="superscript"/>
        <sz val="11"/>
        <rFont val="Times New Roman"/>
        <family val="1"/>
      </rPr>
      <t>H</t>
    </r>
  </si>
  <si>
    <t>Insurance (crop and farm)</t>
  </si>
  <si>
    <r>
      <t>Management Overhead</t>
    </r>
    <r>
      <rPr>
        <vertAlign val="superscript"/>
        <sz val="11"/>
        <rFont val="Times New Roman"/>
        <family val="1"/>
      </rPr>
      <t>J</t>
    </r>
  </si>
  <si>
    <t>A. Hand labor rate is $23.75/hour and includes applicable taxes and benefits. Applied to pruning, training and weed control.</t>
  </si>
  <si>
    <t>B. Hand thinning and chemical thinning labor cost.</t>
  </si>
  <si>
    <t>C. Includes the costs of materials and labor.</t>
  </si>
  <si>
    <t>D. Includes all types of fertilizer used.</t>
  </si>
  <si>
    <t>E. Tractor/machinery or higher skilled labor rate is $24.75/hour and includes applicable taxes and benefits. This rate is also applied to fertilizer labor application (after soil preparation) and frost protection labor.</t>
  </si>
  <si>
    <t>F. Chemical application labor and irrigation labor are $27.79/hour, including applicable taxes and benefits.</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</si>
  <si>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</si>
  <si>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</si>
  <si>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</si>
  <si>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</si>
  <si>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Expected useful life (years)</t>
    </r>
    <r>
      <rPr>
        <b/>
        <vertAlign val="superscript"/>
        <sz val="11"/>
        <rFont val="Times New Roman"/>
        <family val="1"/>
      </rPr>
      <t>E</t>
    </r>
  </si>
  <si>
    <r>
      <t>Annual Depreciation Cost ($)</t>
    </r>
    <r>
      <rPr>
        <b/>
        <vertAlign val="superscript"/>
        <sz val="11"/>
        <rFont val="Times New Roman"/>
        <family val="1"/>
      </rPr>
      <t>G</t>
    </r>
  </si>
  <si>
    <r>
      <t>Annual Depreciation Cost per Acre ($)</t>
    </r>
    <r>
      <rPr>
        <b/>
        <vertAlign val="superscript"/>
        <sz val="11"/>
        <color theme="1"/>
        <rFont val="Times New Roman"/>
        <family val="1"/>
      </rPr>
      <t>H</t>
    </r>
  </si>
  <si>
    <r>
      <t>Salvage Value ($)</t>
    </r>
    <r>
      <rPr>
        <b/>
        <vertAlign val="superscript"/>
        <sz val="11"/>
        <rFont val="Times New Roman"/>
        <family val="1"/>
      </rPr>
      <t>F</t>
    </r>
  </si>
  <si>
    <t>Housing for manager</t>
  </si>
  <si>
    <r>
      <t>Machine shop/shed</t>
    </r>
    <r>
      <rPr>
        <vertAlign val="superscript"/>
        <sz val="11"/>
        <rFont val="Times New Roman"/>
        <family val="1"/>
      </rPr>
      <t>A</t>
    </r>
  </si>
  <si>
    <t>4 wheeler</t>
  </si>
  <si>
    <t>Speed sprayer</t>
  </si>
  <si>
    <t>Weed spray boom &amp; tank</t>
  </si>
  <si>
    <t>Mower-rotary (7 ft)</t>
  </si>
  <si>
    <t>Flail mower</t>
  </si>
  <si>
    <t>Fork lift</t>
  </si>
  <si>
    <t>Bin trailer</t>
  </si>
  <si>
    <t>Pick-up</t>
  </si>
  <si>
    <t>Ladder-8'</t>
  </si>
  <si>
    <r>
      <t>Miscellaneous equipment</t>
    </r>
    <r>
      <rPr>
        <vertAlign val="superscript"/>
        <sz val="11"/>
        <rFont val="Times New Roman"/>
        <family val="1"/>
      </rPr>
      <t>B</t>
    </r>
  </si>
  <si>
    <r>
      <t>Shop equipment</t>
    </r>
    <r>
      <rPr>
        <vertAlign val="superscript"/>
        <sz val="11"/>
        <rFont val="Times New Roman"/>
        <family val="1"/>
      </rPr>
      <t>C</t>
    </r>
  </si>
  <si>
    <t>Total</t>
  </si>
  <si>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</si>
  <si>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</si>
  <si>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</si>
  <si>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</si>
  <si>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</si>
  <si>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</si>
  <si>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</si>
  <si>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t>H. Depreciation cost is divided by total farm acreage (300 acres) in order to derive the per acre cost.</t>
  </si>
  <si>
    <t>Dollar amount to be amortized</t>
  </si>
  <si>
    <r>
      <t>Number of years</t>
    </r>
    <r>
      <rPr>
        <vertAlign val="superscript"/>
        <sz val="11"/>
        <color indexed="8"/>
        <rFont val="Times New Roman"/>
        <family val="1"/>
      </rPr>
      <t>A</t>
    </r>
  </si>
  <si>
    <t>Amortized Amount Per Year</t>
  </si>
  <si>
    <t xml:space="preserve">A. Total life of planting - establishment years </t>
  </si>
  <si>
    <t>Year 6 to 20 (Full Production)</t>
  </si>
  <si>
    <t>Notes</t>
  </si>
  <si>
    <t xml:space="preserve">FOB price </t>
  </si>
  <si>
    <t>FOB packinghouse door price ($/40-lb box)</t>
  </si>
  <si>
    <t>5-year average FOB price between 2019 and 2024</t>
  </si>
  <si>
    <t>FOB packinghouse door price ($/bin)</t>
  </si>
  <si>
    <t>Crop yield</t>
  </si>
  <si>
    <t>Gross Production per acre (lbs)</t>
  </si>
  <si>
    <t>Picking begins in Year 4</t>
  </si>
  <si>
    <t>Gross Production per acre (tons)</t>
  </si>
  <si>
    <t>What is the reasonable fruit size profile to assume in the study?</t>
  </si>
  <si>
    <t>Gross Production per acre (bins)</t>
  </si>
  <si>
    <t>Based on a 925-lb bin</t>
  </si>
  <si>
    <t>Land cost (value of land with water rights)</t>
  </si>
  <si>
    <t>Considering the value of land where there had been fruit trees. The trees are removed to plant the Honeycrisp block.</t>
  </si>
  <si>
    <t>Soil prep</t>
  </si>
  <si>
    <t>Soil sample (custom)</t>
  </si>
  <si>
    <t>Fumigation (custom)</t>
  </si>
  <si>
    <t>Rip and disk ground (custom)</t>
  </si>
  <si>
    <t>Fertilizer - material cost</t>
  </si>
  <si>
    <t>Including all fertilizer</t>
  </si>
  <si>
    <t>Fertilizer - labor hour</t>
  </si>
  <si>
    <t>Fertilizer - labor cost</t>
  </si>
  <si>
    <t>Tree removal (custom)</t>
  </si>
  <si>
    <t>Includes removal, wood chipping, and incorporating in the soil.</t>
  </si>
  <si>
    <t>Trees</t>
  </si>
  <si>
    <t>Planted trees per acre</t>
  </si>
  <si>
    <t>Tree cost per unit</t>
  </si>
  <si>
    <t>Includes Geneva tree royalty to rootstock; 1/2 caliper; includes per tree royalty of $1 to NNII</t>
  </si>
  <si>
    <t xml:space="preserve">Hours to plant a tree </t>
  </si>
  <si>
    <t>Cost of labor per hour</t>
  </si>
  <si>
    <t>Trellis (total cost)</t>
  </si>
  <si>
    <t>Sunburn protection</t>
  </si>
  <si>
    <t>Netting</t>
  </si>
  <si>
    <t>Deployment and roll back</t>
  </si>
  <si>
    <t>Irrigation installation</t>
  </si>
  <si>
    <t>Laterals, sprinklers, sub-lines</t>
  </si>
  <si>
    <t>Considers overhead cooling with micro sprinklers.</t>
  </si>
  <si>
    <t>Installation labor</t>
  </si>
  <si>
    <t>Mainline</t>
  </si>
  <si>
    <t>Pumps (irrigation and frost), centrifugal</t>
  </si>
  <si>
    <t>Pond and filters with liners (purchase and installation)</t>
  </si>
  <si>
    <t>With liners for water conservation</t>
  </si>
  <si>
    <t>Pruning and training</t>
  </si>
  <si>
    <t>Hours of pruning</t>
  </si>
  <si>
    <t>Hours of training</t>
  </si>
  <si>
    <t>Continue to train due to the density of the blocks</t>
  </si>
  <si>
    <t>Thinning</t>
  </si>
  <si>
    <t>Hours of hand thinning labor</t>
  </si>
  <si>
    <t>No manual thinning in WA38.</t>
  </si>
  <si>
    <t>Hours of chemical thinning</t>
  </si>
  <si>
    <t>No chemical thinning in WA38.</t>
  </si>
  <si>
    <t>Chemicals</t>
  </si>
  <si>
    <t>Cost chemicals, materials</t>
  </si>
  <si>
    <t xml:space="preserve">All chemicals (fungicide, fireblight prevention, disease prevention, insecticide, herbicide. </t>
  </si>
  <si>
    <t>Hours of chemical application</t>
  </si>
  <si>
    <t>Fertilizer after Soil Prep</t>
  </si>
  <si>
    <t>Cost of fertilizer - material</t>
  </si>
  <si>
    <t>All foliar fertilizer and ground fertilizer.</t>
  </si>
  <si>
    <t>Hours of fertilizer application</t>
  </si>
  <si>
    <t>No labor during Year 1 because fertilizer application is done through fertigation. In Years 2-Full Prod, costs based on 1 broadcast application.</t>
  </si>
  <si>
    <t>Irrigation</t>
  </si>
  <si>
    <t>Water</t>
  </si>
  <si>
    <t>Irrigation/electric charge</t>
  </si>
  <si>
    <t xml:space="preserve">Irrigation </t>
  </si>
  <si>
    <t>Hours of irrigation labor</t>
  </si>
  <si>
    <t>Beehive</t>
  </si>
  <si>
    <t>Cost per bee hive</t>
  </si>
  <si>
    <t>Number of bee hives per acre</t>
  </si>
  <si>
    <t>Wind machine</t>
  </si>
  <si>
    <t>Wind Machine (cost of units per acre) installed in Year 3</t>
  </si>
  <si>
    <t>Price per unit = $40,000; 1 unit per 10 acres; In contrast to 2019 apple budget, wind machine is installed in Year 1 in 2024 budget.</t>
  </si>
  <si>
    <t>Hours of wind machine installation</t>
  </si>
  <si>
    <t>Hours of frost protection (labor)</t>
  </si>
  <si>
    <t>Depends heavily on the weather/season/location/could be anywhere from 0.4 to 25 hours. Use the lowest number in the range. Also, in contrast to 2019 budget, there is frost protection in Year 1 and Year 2 in 2024 budget to protect young trees.</t>
  </si>
  <si>
    <t>Maintenance &amp; Repairs</t>
  </si>
  <si>
    <t>Mainline, pump &amp; pond</t>
  </si>
  <si>
    <t>Maintenance and repair start in Year 4</t>
  </si>
  <si>
    <t>Irrigation system</t>
  </si>
  <si>
    <t>Trellis system</t>
  </si>
  <si>
    <t>Wind machine &amp; alarm system</t>
  </si>
  <si>
    <t>Machinery repair (lump sum)</t>
  </si>
  <si>
    <t>Fuel and lube (lump sum including propane for wind machine)</t>
  </si>
  <si>
    <t>Harvest per bin</t>
  </si>
  <si>
    <t>Cost of picking labor, manual, per bin</t>
  </si>
  <si>
    <t xml:space="preserve">Base = $35/bin plus paid rest and overtime. </t>
  </si>
  <si>
    <t>Cost of checking, tractor drivers and supervisors, manual, per bin</t>
  </si>
  <si>
    <t>Cost of hauling, per bin</t>
  </si>
  <si>
    <t xml:space="preserve">Average rate from transporting fruit from the orchard to the warehouse. </t>
  </si>
  <si>
    <t>Packing Cost</t>
  </si>
  <si>
    <t>Pack-out percentage</t>
  </si>
  <si>
    <t>Number of pounds per bin</t>
  </si>
  <si>
    <t>Packout number of boxes per bin</t>
  </si>
  <si>
    <t>Receiving charge per bin</t>
  </si>
  <si>
    <t>Charges per box</t>
  </si>
  <si>
    <t>Includes per box royalty</t>
  </si>
  <si>
    <t>Total packing charges per bin</t>
  </si>
  <si>
    <t>Total packing charges per bin is the sum of receiving charges (or "in charge") per bin and total box charges per bin.</t>
  </si>
  <si>
    <t>Other</t>
  </si>
  <si>
    <t>Miscellaneous labor (lump sum) - General labor</t>
  </si>
  <si>
    <t xml:space="preserve">All other labor. Excludes pruning, training, thinning, chemical &amp; fertilizer application, planting, irrigation labor, harvest. </t>
  </si>
  <si>
    <t>Miscellaneous supplies (lump sum)</t>
  </si>
  <si>
    <t>Insurance (crop and all farm)</t>
  </si>
  <si>
    <t>Management Overhead</t>
  </si>
  <si>
    <t xml:space="preserve">Overhead </t>
  </si>
  <si>
    <t>Interest rate</t>
  </si>
  <si>
    <t>Establishment interest rate</t>
  </si>
  <si>
    <t>No. of years to borrow operating capital</t>
  </si>
  <si>
    <t>Total acres in block</t>
  </si>
  <si>
    <t>Total productive acres</t>
  </si>
  <si>
    <t>Tree density per acre</t>
  </si>
  <si>
    <t>Total orchard acres</t>
  </si>
  <si>
    <t>Labor rate</t>
  </si>
  <si>
    <t>Manual ($/hour)</t>
  </si>
  <si>
    <t>Base = $19.25/hour, plus H2A fixed cost = $4.50/hour</t>
  </si>
  <si>
    <t>Fertilizer application, frost protection labor</t>
  </si>
  <si>
    <t>Additional $1/hour to base rate of manual labor, plus H2A fixed cost</t>
  </si>
  <si>
    <t>Chemical application, irrigation labor</t>
  </si>
  <si>
    <t>Additional $1/hour to base rate of manual labor, plus H2A fixed cost, plus overtime (15% of $20.25/hour).</t>
  </si>
  <si>
    <t>Shaded area denotes positive net returns based on the combination of net yield and price.</t>
  </si>
  <si>
    <r>
      <t xml:space="preserve">Values in </t>
    </r>
    <r>
      <rPr>
        <sz val="10"/>
        <color theme="9" tint="-0.249977111117893"/>
        <rFont val="Times New Roman"/>
        <family val="1"/>
      </rPr>
      <t>orange</t>
    </r>
    <r>
      <rPr>
        <sz val="10"/>
        <rFont val="Times New Roman"/>
        <family val="1"/>
      </rPr>
      <t xml:space="preserve"> can be modified. Values in black are calculations.</t>
    </r>
  </si>
  <si>
    <t>Number of 40-lb boxes per bin =</t>
  </si>
  <si>
    <t>F. Interest costs include some actual cash interest payments.</t>
  </si>
  <si>
    <r>
      <t>B. If the return is below this level, Cosmic Crisp</t>
    </r>
    <r>
      <rPr>
        <vertAlign val="superscript"/>
        <sz val="10"/>
        <color rgb="FF000000"/>
        <rFont val="Times New Roman"/>
        <family val="1"/>
      </rPr>
      <t>®</t>
    </r>
    <r>
      <rPr>
        <sz val="10"/>
        <color indexed="8"/>
        <rFont val="Times New Roman"/>
        <family val="1"/>
      </rPr>
      <t xml:space="preserve"> apples are uneconomical to produce. </t>
    </r>
  </si>
  <si>
    <t>Bin size is 925 lb.</t>
  </si>
  <si>
    <t>B</t>
  </si>
  <si>
    <r>
      <t>The information in this publication serves as a general guide for a modern and well-managed Cosmic Crisp</t>
    </r>
    <r>
      <rPr>
        <vertAlign val="superscript"/>
        <sz val="11"/>
        <rFont val="Times New Roman"/>
        <family val="1"/>
      </rPr>
      <t>®</t>
    </r>
    <r>
      <rPr>
        <sz val="11"/>
        <rFont val="Times New Roman"/>
        <family val="1"/>
      </rPr>
      <t xml:space="preserve"> orchard as of 2024. To avoid unwarranted conclusions for any particular operation, closely examine the assumptions used. If they are not appropriate for your situation, adjust the costs and/or returns as appropriate.</t>
    </r>
  </si>
  <si>
    <t>This budget is based on a 11-acre Cosmic Crisp® block within a 300-acre orchard. It is assumed that 1 acre of this block is dedicated to roads, pond, loading area, buildings, etc., rather than to fruit production. Therefore, the total productive area for this block is 10 acres.</t>
  </si>
  <si>
    <t xml:space="preserve">Management salary is valued at $750 per acre. </t>
  </si>
  <si>
    <t>1,815 trees per acre</t>
  </si>
  <si>
    <t>Angled V (30 degrees from the vertical line, with 7 wires per side; top wire is 11.5 feet off the ground, metal post every 30 ft)</t>
  </si>
  <si>
    <r>
      <t>A. Break-even return is calculated as</t>
    </r>
    <r>
      <rPr>
        <b/>
        <sz val="10"/>
        <color rgb="FF000000"/>
        <rFont val="Times New Roman"/>
        <family val="1"/>
      </rPr>
      <t xml:space="preserve"> cost divided by net yield</t>
    </r>
    <r>
      <rPr>
        <sz val="10"/>
        <color indexed="8"/>
        <rFont val="Times New Roman"/>
        <family val="1"/>
      </rPr>
      <t xml:space="preserve"> during full production. The break-even return per 40-lb box is calculated as the per bin value divided by 18.5. All variables in this equation are held constant, except for the “Cost,” which takes the Total Variable Costs, Total Cash Costs, Total Cash Costs + Depreciation Costs, or Total Costs, depending on the level of enterprise cost that the break-even return is being calculated.</t>
    </r>
  </si>
  <si>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</si>
  <si>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</si>
  <si>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</si>
  <si>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</si>
  <si>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</si>
  <si>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</si>
  <si>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</si>
  <si>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</si>
  <si>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</si>
  <si>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</si>
  <si>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</si>
  <si>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</si>
  <si>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</si>
  <si>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</si>
  <si>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</si>
  <si>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</si>
  <si>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</si>
  <si>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A. Estimated net production considers an average pack-out of 80% or 18.5 boxes/bin.</t>
  </si>
  <si>
    <t>B. These are packinghouse door prices. They reflect the return before any expenses are subtracted. Bin size is 925 lb. Both the per-bin price and per-40-lb box price are provided for convenience, but the per-bin price is used to calculate the Total Returns.</t>
  </si>
  <si>
    <t>C. Hand labor rate is $23.75/hour and includes all applicable taxes and benefits.</t>
  </si>
  <si>
    <r>
      <t>D. There is neither hand thinning nor chemical thinning for Cosmic Crisp</t>
    </r>
    <r>
      <rPr>
        <vertAlign val="superscript"/>
        <sz val="10"/>
        <rFont val="Times New Roman"/>
        <family val="1"/>
      </rPr>
      <t>®</t>
    </r>
    <r>
      <rPr>
        <sz val="10"/>
        <rFont val="Times New Roman"/>
        <family val="1"/>
      </rPr>
      <t>.</t>
    </r>
  </si>
  <si>
    <t>E. Includes materials and labor.</t>
  </si>
  <si>
    <t xml:space="preserve">F. Tractor/machinery labor for chemical application and irrigation is $27.79 per hour. Labor for fertilizer application and frost protection is $24.75/hour and includes all applicable taxes and benefits. </t>
  </si>
  <si>
    <t>G. Labor cost to deploy and pull back.</t>
  </si>
  <si>
    <t>H. General farm labor rate is a lump sum per acre and applied to miscellaneous/all other labor. Rate includes applicable taxes and benefits.</t>
  </si>
  <si>
    <t>I. Picking rate = $43/bin; Checkers &amp; tractor drivers' rate = $11/bin; Hauling rate = $11/bin (hauling refers to transportation cost from the orchard to the warehouse. It is assumed that warehouse will cover additional transportation expenses (if any) when the orchard is located in remote areas.</t>
  </si>
  <si>
    <t>J. Packing charges include receiving charges per bin plus total box charges per bin. Pack-out number of boxes per bin is 18.5.</t>
  </si>
  <si>
    <t>K. Captures indirect costs of operations in the orchard that fluctuate with the level of production but are not accounted by the variable costs already identified. Also captures unforeseeable expenses.</t>
  </si>
  <si>
    <t>L. Interest expense on full year during establishment years and for 3/4 of a year during full production.</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</si>
  <si>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</si>
  <si>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</si>
  <si>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r>
      <t>2024 Cost and Return Estimates of Establishing, Producing and Packing Cosmic Crisp</t>
    </r>
    <r>
      <rPr>
        <b/>
        <vertAlign val="superscript"/>
        <sz val="14"/>
        <color theme="1"/>
        <rFont val="Times New Roman"/>
        <family val="1"/>
      </rPr>
      <t xml:space="preserve">® </t>
    </r>
    <r>
      <rPr>
        <b/>
        <sz val="14"/>
        <color theme="1"/>
        <rFont val="Times New Roman"/>
        <family val="1"/>
      </rPr>
      <t>Apples on Angled V Trellis System in Washington</t>
    </r>
  </si>
  <si>
    <r>
      <t>Estimated FOB Price</t>
    </r>
    <r>
      <rPr>
        <vertAlign val="superscript"/>
        <sz val="11"/>
        <rFont val="Times New Roman"/>
        <family val="1"/>
      </rPr>
      <t>B</t>
    </r>
    <r>
      <rPr>
        <sz val="11"/>
        <rFont val="Times New Roman"/>
        <family val="1"/>
      </rPr>
      <t xml:space="preserve"> in $/bin</t>
    </r>
  </si>
  <si>
    <r>
      <t>Estimated FOB Price</t>
    </r>
    <r>
      <rPr>
        <vertAlign val="superscript"/>
        <sz val="11"/>
        <rFont val="Times New Roman"/>
        <family val="1"/>
      </rPr>
      <t>B</t>
    </r>
    <r>
      <rPr>
        <sz val="11"/>
        <rFont val="Times New Roman"/>
        <family val="1"/>
      </rPr>
      <t xml:space="preserve"> in $/40-lb box</t>
    </r>
  </si>
  <si>
    <t>Years 6 to 20 (Full Production, Annual Average)</t>
  </si>
  <si>
    <t>Variables</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</si>
  <si>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"Cosmic Crisp-Angled V Budget".</t>
  </si>
  <si>
    <r>
      <t>Table 1.1. Cosmic Crisp</t>
    </r>
    <r>
      <rPr>
        <b/>
        <vertAlign val="superscript"/>
        <sz val="14"/>
        <rFont val="Times New Roman"/>
        <family val="1"/>
      </rPr>
      <t>®</t>
    </r>
    <r>
      <rPr>
        <b/>
        <sz val="14"/>
        <rFont val="Times New Roman"/>
        <family val="1"/>
      </rPr>
      <t xml:space="preserve"> block specifications.</t>
    </r>
  </si>
  <si>
    <t>Block Specification</t>
  </si>
  <si>
    <t>Return or Cost</t>
  </si>
  <si>
    <t>Description or Activity</t>
  </si>
  <si>
    <t>Yield</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</si>
  <si>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</si>
  <si>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</si>
  <si>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</si>
  <si>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</si>
  <si>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</si>
  <si>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</si>
  <si>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</si>
  <si>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</si>
  <si>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</si>
  <si>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r>
      <t>Sunburn Protection</t>
    </r>
    <r>
      <rPr>
        <sz val="11"/>
        <rFont val="Calibri"/>
        <family val="2"/>
      </rPr>
      <t>—</t>
    </r>
    <r>
      <rPr>
        <sz val="11"/>
        <rFont val="Times New Roman"/>
        <family val="1"/>
      </rPr>
      <t>Netting</t>
    </r>
  </si>
  <si>
    <t>Other fixed cost</t>
  </si>
  <si>
    <t>Sum of depreciation, interest and other fixed costs</t>
  </si>
  <si>
    <t>Sum of fixed cash and non-cash costs</t>
  </si>
  <si>
    <t>Sum of all costs</t>
  </si>
  <si>
    <t>TOTAL PRODUCTION COSTS</t>
  </si>
  <si>
    <t>Total returns minus total production costs</t>
  </si>
  <si>
    <t>Establishment cost</t>
  </si>
  <si>
    <t>There are 18.5 40-lb boxes per bin. The equivalent free on board (FOB) price per 40-lb box from left to right are: 28, 35, and 43, respectively.</t>
  </si>
  <si>
    <t>FOB price, $/bin 1</t>
  </si>
  <si>
    <t>FOB price, $/bin 2</t>
  </si>
  <si>
    <t>FOB price, $/bin 3</t>
  </si>
  <si>
    <r>
      <t>From left to right, the assumed FOB prices are the minimum, average, and maximum annual FOB prices of Cosmic Crisp</t>
    </r>
    <r>
      <rPr>
        <vertAlign val="superscript"/>
        <sz val="10"/>
        <rFont val="Times New Roman"/>
        <family val="1"/>
      </rPr>
      <t>®</t>
    </r>
    <r>
      <rPr>
        <sz val="10"/>
        <rFont val="Times New Roman"/>
        <family val="1"/>
      </rPr>
      <t xml:space="preserve"> between 2019 and 2024. (Source: WSTFA) Both prices in terms of bin ans 40-lb box are provided for convenience, but the price per bin is used to calculate the net returns.</t>
    </r>
  </si>
  <si>
    <t>Net returns at $518/bin</t>
  </si>
  <si>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</si>
  <si>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</si>
  <si>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</si>
  <si>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</si>
  <si>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</si>
  <si>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</si>
  <si>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</si>
  <si>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r>
      <t>Appendix Table 1. Summary of annual capital Requirements for a 10-acre Cosmic Crisp</t>
    </r>
    <r>
      <rPr>
        <b/>
        <vertAlign val="superscript"/>
        <sz val="14"/>
        <rFont val="Times New Roman"/>
        <family val="1"/>
      </rPr>
      <t xml:space="preserve">® </t>
    </r>
    <r>
      <rPr>
        <b/>
        <sz val="14"/>
        <rFont val="Times New Roman"/>
        <family val="1"/>
      </rPr>
      <t>block on angled V trellis system.</t>
    </r>
  </si>
  <si>
    <t>Requirements and Receipts</t>
  </si>
  <si>
    <t>Appendix Table 2. Machinery, equipment, and building requirements for a 300-acre diverse cultivar orchard.</t>
  </si>
  <si>
    <t>Requirements</t>
  </si>
  <si>
    <r>
      <t>Appendix Table 3. Annual interest costs per acre for a 10-acre Cosmic Crisp</t>
    </r>
    <r>
      <rPr>
        <b/>
        <vertAlign val="superscript"/>
        <sz val="14"/>
        <rFont val="Times New Roman"/>
        <family val="1"/>
      </rPr>
      <t>®</t>
    </r>
    <r>
      <rPr>
        <b/>
        <sz val="14"/>
        <rFont val="Times New Roman"/>
        <family val="1"/>
      </rPr>
      <t xml:space="preserve"> block on angled V trellis system.</t>
    </r>
  </si>
  <si>
    <t xml:space="preserve">Capital Requirements </t>
  </si>
  <si>
    <t>E. See Appendix Table 7 for a detailed calculation of the salvage value of the machinery, equipment and building.</t>
  </si>
  <si>
    <r>
      <t>Appendix Table 4. Annual depreciation costs per acre for a 10-acre Cosmic Crisp</t>
    </r>
    <r>
      <rPr>
        <b/>
        <vertAlign val="superscript"/>
        <sz val="14"/>
        <rFont val="Times New Roman"/>
        <family val="1"/>
      </rPr>
      <t>®</t>
    </r>
    <r>
      <rPr>
        <b/>
        <sz val="14"/>
        <rFont val="Times New Roman"/>
        <family val="1"/>
      </rPr>
      <t xml:space="preserve"> block on angled V trellis system.</t>
    </r>
  </si>
  <si>
    <t xml:space="preserve">B. See Appendix Table 7 for calculation of the depreciation cost of the machinery, equipment and building. </t>
  </si>
  <si>
    <r>
      <t>Appendix Table 5. Data on costs during establishment years for a 10-acre Cosmic Crisp</t>
    </r>
    <r>
      <rPr>
        <b/>
        <vertAlign val="superscript"/>
        <sz val="14"/>
        <rFont val="Times New Roman"/>
        <family val="1"/>
      </rPr>
      <t>®</t>
    </r>
    <r>
      <rPr>
        <b/>
        <sz val="14"/>
        <rFont val="Times New Roman"/>
        <family val="1"/>
      </rPr>
      <t xml:space="preserve"> block on angled V trellis system.</t>
    </r>
  </si>
  <si>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</si>
  <si>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</si>
  <si>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</si>
  <si>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</si>
  <si>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</si>
  <si>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full sized trees (5/8" or better)</t>
  </si>
  <si>
    <t>Trees: planting per tree (labor and tractor)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</si>
  <si>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</si>
  <si>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</si>
  <si>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</si>
  <si>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</si>
  <si>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Harvest Costs (per bin): picking (multiple picks)</t>
  </si>
  <si>
    <t>Harvest Costs (per bin): checkers, tractor drivers and supervisors</t>
  </si>
  <si>
    <t>Harvest Costs (per bin): hauling</t>
  </si>
  <si>
    <t>Sunburn Protection—Netting, materials</t>
  </si>
  <si>
    <t>Sunburn Protection—Netting (deploy and pull back), labor</t>
  </si>
  <si>
    <t xml:space="preserve">Year  </t>
  </si>
  <si>
    <r>
      <t>Appendix Table 6. Data on costs during a full production year for a 10-acre Cosmic Crisp</t>
    </r>
    <r>
      <rPr>
        <b/>
        <vertAlign val="superscript"/>
        <sz val="14"/>
        <rFont val="Times New Roman"/>
        <family val="1"/>
      </rPr>
      <t>®</t>
    </r>
    <r>
      <rPr>
        <b/>
        <sz val="14"/>
        <rFont val="Times New Roman"/>
        <family val="1"/>
      </rPr>
      <t xml:space="preserve"> block on angled V trellis system.</t>
    </r>
  </si>
  <si>
    <t>Sunburn Protection—Netting (deploy and pull back)</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</si>
  <si>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</si>
  <si>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</si>
  <si>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</si>
  <si>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</si>
  <si>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</si>
  <si>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</si>
  <si>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</si>
  <si>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Appendix Table 8. Amortization calculator.</t>
  </si>
  <si>
    <t>Variable</t>
  </si>
  <si>
    <t>Value</t>
  </si>
  <si>
    <r>
      <t>Appendix Table 9. Assumptions for establishing, producing, and packing Cosmic Crisp</t>
    </r>
    <r>
      <rPr>
        <b/>
        <vertAlign val="superscript"/>
        <sz val="14"/>
        <rFont val="Times New Roman"/>
        <family val="1"/>
      </rPr>
      <t>®</t>
    </r>
    <r>
      <rPr>
        <b/>
        <sz val="14"/>
        <rFont val="Times New Roman"/>
        <family val="1"/>
      </rPr>
      <t xml:space="preserve"> apples on angled V trellis system (per acre basis).</t>
    </r>
  </si>
  <si>
    <t>Net returns at $647.5/bin</t>
  </si>
  <si>
    <t>Net returns at $795.5/bin</t>
  </si>
  <si>
    <r>
      <t>Table 2.1. Cost and returns per acre of establishing, producing and packing Cosmic Crisp</t>
    </r>
    <r>
      <rPr>
        <b/>
        <vertAlign val="superscript"/>
        <sz val="14"/>
        <rFont val="Times New Roman"/>
        <family val="1"/>
      </rPr>
      <t>®</t>
    </r>
    <r>
      <rPr>
        <b/>
        <sz val="14"/>
        <rFont val="Times New Roman"/>
        <family val="1"/>
      </rPr>
      <t xml:space="preserve"> on angled V trellis system in a 10-acre orchard block.</t>
    </r>
  </si>
  <si>
    <r>
      <t>Table 3.1. Estimated net returns</t>
    </r>
    <r>
      <rPr>
        <b/>
        <vertAlign val="superscript"/>
        <sz val="14"/>
        <rFont val="Times New Roman"/>
        <family val="1"/>
      </rPr>
      <t>A</t>
    </r>
    <r>
      <rPr>
        <b/>
        <sz val="14"/>
        <rFont val="Times New Roman"/>
        <family val="1"/>
      </rPr>
      <t xml:space="preserve"> per acre at various prices and yields of Cosmic Crisp</t>
    </r>
    <r>
      <rPr>
        <b/>
        <vertAlign val="superscript"/>
        <sz val="14"/>
        <rFont val="Times New Roman"/>
        <family val="1"/>
      </rPr>
      <t>®</t>
    </r>
    <r>
      <rPr>
        <b/>
        <sz val="14"/>
        <rFont val="Times New Roman"/>
        <family val="1"/>
      </rPr>
      <t xml:space="preserve"> during full production on angled V trellis system.</t>
    </r>
  </si>
  <si>
    <r>
      <t>Table 4.1. Break-even return for different levels of enterprise costs during full production of Cosmic Crisp</t>
    </r>
    <r>
      <rPr>
        <b/>
        <vertAlign val="superscript"/>
        <sz val="14"/>
        <color rgb="FF000000"/>
        <rFont val="Times New Roman"/>
        <family val="1"/>
      </rPr>
      <t>®</t>
    </r>
    <r>
      <rPr>
        <b/>
        <sz val="14"/>
        <color indexed="8"/>
        <rFont val="Times New Roman"/>
        <family val="1"/>
      </rPr>
      <t xml:space="preserve"> apples on angled V trellis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</si>
</sst>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0.0"/>
    <numFmt numFmtId="169" formatCode="#,##0;[Red]\ \ \-\ #,##0\ ;&quot;-&quot;"/>
    <numFmt numFmtId="170" formatCode="#,##0.00;[Red]\ \ \-\ #,##0.00\ ;&quot;-&quot;"/>
    <numFmt numFmtId="171" formatCode="&quot;$&quot;#,##0.0"/>
  </numFmts>
  <fonts count="49"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u/>
      <sz val="10"/>
      <color indexed="8"/>
      <name val="Times New Roman"/>
      <family val="1"/>
    </font>
    <font>
      <b/>
      <vertAlign val="superscript"/>
      <sz val="14"/>
      <color theme="1"/>
      <name val="Times New Roman"/>
      <family val="1"/>
    </font>
    <font>
      <b/>
      <vertAlign val="superscript"/>
      <sz val="14"/>
      <color rgb="FF000000"/>
      <name val="Times New Roman"/>
      <family val="1"/>
    </font>
    <font>
      <vertAlign val="superscript"/>
      <sz val="10"/>
      <color rgb="FF000000"/>
      <name val="Times New Roman"/>
      <family val="1"/>
    </font>
    <font>
      <b/>
      <sz val="10"/>
      <color rgb="FF000000"/>
      <name val="Times New Roman"/>
      <family val="1"/>
    </font>
    <font>
      <b/>
      <sz val="11"/>
      <color rgb="FFC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style="thin">
        <color auto="1"/>
      </top>
      <bottom/>
      <diagonal/>
    </border>
    <border>
      <left/>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20">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6" fillId="2" borderId="0" xfId="0" applyFont="1" applyFill="1"/>
    <xf numFmtId="0" fontId="4" fillId="2" borderId="0" xfId="0" applyFont="1" applyFill="1"/>
    <xf numFmtId="0" fontId="13" fillId="3" borderId="0" xfId="0" applyFont="1" applyFill="1"/>
    <xf numFmtId="0" fontId="7" fillId="3" borderId="0" xfId="0" applyFont="1" applyFill="1"/>
    <xf numFmtId="0" fontId="14" fillId="3" borderId="0" xfId="0" applyFont="1" applyFill="1"/>
    <xf numFmtId="4" fontId="7" fillId="3" borderId="0" xfId="0" applyNumberFormat="1" applyFont="1" applyFill="1" applyAlignment="1">
      <alignment horizontal="right" vertical="center" indent="2"/>
    </xf>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4" fontId="15" fillId="3" borderId="0" xfId="0" applyNumberFormat="1" applyFont="1" applyFill="1" applyAlignment="1">
      <alignment horizontal="right" vertical="center" indent="2"/>
    </xf>
    <xf numFmtId="3" fontId="15"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3" fontId="7" fillId="3" borderId="0" xfId="0" applyNumberFormat="1" applyFont="1" applyFill="1" applyAlignment="1" applyProtection="1">
      <alignment horizontal="center" vertical="center"/>
      <protection locked="0"/>
    </xf>
    <xf numFmtId="167" fontId="7" fillId="2" borderId="0" xfId="0" applyNumberFormat="1" applyFont="1" applyFill="1" applyAlignment="1">
      <alignment horizontal="right" indent="1"/>
    </xf>
    <xf numFmtId="0" fontId="7" fillId="2" borderId="0" xfId="0" applyFont="1" applyFill="1" applyAlignment="1">
      <alignment horizontal="left"/>
    </xf>
    <xf numFmtId="3" fontId="7" fillId="2" borderId="2" xfId="0" applyNumberFormat="1" applyFont="1" applyFill="1" applyBorder="1" applyAlignment="1">
      <alignment horizontal="right" vertical="center" indent="3"/>
    </xf>
    <xf numFmtId="3" fontId="24" fillId="2" borderId="0" xfId="0" applyNumberFormat="1" applyFont="1" applyFill="1" applyAlignment="1" applyProtection="1">
      <alignment horizontal="right" vertical="center" indent="3"/>
      <protection locked="0"/>
    </xf>
    <xf numFmtId="3" fontId="24" fillId="2" borderId="0" xfId="0" applyNumberFormat="1" applyFont="1" applyFill="1" applyAlignment="1" applyProtection="1">
      <alignment horizontal="center" vertical="center"/>
      <protection locked="0"/>
    </xf>
    <xf numFmtId="4" fontId="24" fillId="2" borderId="0" xfId="0" applyNumberFormat="1" applyFont="1" applyFill="1" applyAlignment="1" applyProtection="1">
      <alignment horizontal="right" indent="1"/>
      <protection locked="0"/>
    </xf>
    <xf numFmtId="0" fontId="34" fillId="3" borderId="0" xfId="0" applyFont="1" applyFill="1"/>
    <xf numFmtId="0" fontId="36" fillId="3" borderId="0" xfId="0" applyFont="1" applyFill="1"/>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0" fontId="29" fillId="3" borderId="0" xfId="0" applyFont="1" applyFill="1" applyAlignment="1" applyProtection="1">
      <alignment horizontal="left" indent="5"/>
      <protection locked="0"/>
    </xf>
    <xf numFmtId="4" fontId="7" fillId="3" borderId="0" xfId="0" applyNumberFormat="1" applyFont="1" applyFill="1"/>
    <xf numFmtId="9" fontId="7" fillId="0" borderId="0" xfId="2" applyFont="1" applyFill="1" applyBorder="1" applyAlignment="1">
      <alignment vertical="top"/>
    </xf>
    <xf numFmtId="9" fontId="24" fillId="0" borderId="0" xfId="2" applyFont="1" applyFill="1" applyBorder="1" applyAlignment="1">
      <alignment horizontal="right" vertical="top"/>
    </xf>
    <xf numFmtId="0" fontId="24" fillId="3" borderId="0" xfId="0" applyFont="1" applyFill="1" applyAlignment="1">
      <alignment horizontal="left"/>
    </xf>
    <xf numFmtId="0" fontId="24" fillId="2" borderId="0" xfId="0" applyFont="1" applyFill="1" applyAlignment="1">
      <alignment horizontal="left"/>
    </xf>
    <xf numFmtId="3" fontId="7" fillId="3" borderId="0" xfId="0" applyNumberFormat="1" applyFont="1" applyFill="1" applyAlignment="1" applyProtection="1">
      <alignment horizontal="right" vertical="center"/>
      <protection locked="0"/>
    </xf>
    <xf numFmtId="0" fontId="24" fillId="3" borderId="0" xfId="0" applyFont="1" applyFill="1"/>
    <xf numFmtId="43" fontId="36"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7" fillId="3" borderId="0" xfId="0" applyNumberFormat="1" applyFont="1" applyFill="1" applyAlignment="1">
      <alignment horizontal="left" vertical="top"/>
    </xf>
    <xf numFmtId="9" fontId="30"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4" fontId="7" fillId="2" borderId="0" xfId="0" applyNumberFormat="1" applyFont="1" applyFill="1" applyAlignment="1" applyProtection="1">
      <alignment horizontal="right" indent="1"/>
      <protection locked="0"/>
    </xf>
    <xf numFmtId="0" fontId="7" fillId="3" borderId="0" xfId="0" quotePrefix="1" applyFont="1" applyFill="1"/>
    <xf numFmtId="4" fontId="7" fillId="3" borderId="0" xfId="0" quotePrefix="1" applyNumberFormat="1" applyFont="1" applyFill="1"/>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9" fontId="7" fillId="0" borderId="0" xfId="2" applyFont="1" applyFill="1" applyBorder="1" applyAlignment="1">
      <alignment horizontal="left" vertical="top"/>
    </xf>
    <xf numFmtId="0" fontId="26" fillId="3" borderId="0" xfId="0" applyFont="1" applyFill="1" applyAlignment="1">
      <alignment vertical="top"/>
    </xf>
    <xf numFmtId="0" fontId="34" fillId="3" borderId="0" xfId="0" applyFont="1" applyFill="1" applyAlignment="1">
      <alignment vertical="top"/>
    </xf>
    <xf numFmtId="0" fontId="13" fillId="3" borderId="0" xfId="0" applyFont="1" applyFill="1" applyAlignment="1">
      <alignment vertical="top"/>
    </xf>
    <xf numFmtId="0" fontId="25" fillId="3" borderId="0" xfId="0" applyFont="1" applyFill="1" applyAlignment="1">
      <alignment vertical="top"/>
    </xf>
    <xf numFmtId="0" fontId="13" fillId="3" borderId="0" xfId="0" applyFont="1" applyFill="1" applyAlignment="1">
      <alignment horizontal="center" vertical="top"/>
    </xf>
    <xf numFmtId="0" fontId="22" fillId="3" borderId="0" xfId="0" applyFont="1" applyFill="1" applyAlignment="1">
      <alignment vertical="top"/>
    </xf>
    <xf numFmtId="0" fontId="14" fillId="3" borderId="0" xfId="0" applyFont="1" applyFill="1" applyAlignment="1">
      <alignment horizontal="center" vertical="top"/>
    </xf>
    <xf numFmtId="0" fontId="22" fillId="3" borderId="0" xfId="0" applyFont="1" applyFill="1" applyAlignment="1">
      <alignment horizontal="left" vertical="top"/>
    </xf>
    <xf numFmtId="0" fontId="9" fillId="3" borderId="0" xfId="0"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vertical="top" wrapText="1"/>
    </xf>
    <xf numFmtId="0" fontId="7" fillId="2" borderId="0" xfId="0" applyFont="1" applyFill="1" applyAlignment="1">
      <alignment horizontal="left" vertical="top"/>
    </xf>
    <xf numFmtId="0" fontId="18" fillId="2" borderId="0" xfId="0" applyFont="1" applyFill="1" applyAlignment="1">
      <alignment vertical="top"/>
    </xf>
    <xf numFmtId="0" fontId="7" fillId="2" borderId="0" xfId="0" applyFont="1" applyFill="1" applyAlignment="1">
      <alignment horizontal="center" vertical="top"/>
    </xf>
    <xf numFmtId="0" fontId="18" fillId="2" borderId="0" xfId="0" quotePrefix="1" applyFont="1" applyFill="1" applyAlignment="1">
      <alignment vertical="top"/>
    </xf>
    <xf numFmtId="0" fontId="9" fillId="2" borderId="0" xfId="0" applyFont="1" applyFill="1" applyAlignment="1">
      <alignment horizontal="lef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7" fillId="3" borderId="0" xfId="0" quotePrefix="1" applyFont="1" applyFill="1" applyAlignment="1">
      <alignment horizontal="right" vertical="top" wrapText="1"/>
    </xf>
    <xf numFmtId="0" fontId="7" fillId="3" borderId="0" xfId="0" applyFont="1" applyFill="1" applyAlignment="1">
      <alignment vertical="top" wrapText="1"/>
    </xf>
    <xf numFmtId="4" fontId="7" fillId="3" borderId="0" xfId="0" applyNumberFormat="1" applyFont="1" applyFill="1" applyAlignment="1">
      <alignment horizontal="right"/>
    </xf>
    <xf numFmtId="0" fontId="9" fillId="3" borderId="0" xfId="0" applyFont="1" applyFill="1"/>
    <xf numFmtId="0" fontId="7" fillId="3" borderId="0" xfId="0" applyFont="1" applyFill="1" applyAlignment="1">
      <alignment horizontal="right"/>
    </xf>
    <xf numFmtId="0" fontId="8" fillId="3" borderId="0" xfId="0" applyFont="1" applyFill="1" applyAlignment="1">
      <alignment vertical="top"/>
    </xf>
    <xf numFmtId="0" fontId="9" fillId="2" borderId="12" xfId="0" applyFont="1" applyFill="1" applyBorder="1" applyAlignment="1">
      <alignment horizontal="left"/>
    </xf>
    <xf numFmtId="0" fontId="6" fillId="3" borderId="0" xfId="0" applyFont="1" applyFill="1" applyAlignment="1">
      <alignment horizontal="left" vertical="top"/>
    </xf>
    <xf numFmtId="0" fontId="7" fillId="3" borderId="12" xfId="0" applyFont="1" applyFill="1" applyBorder="1"/>
    <xf numFmtId="0" fontId="9" fillId="0" borderId="12" xfId="0" applyFont="1" applyBorder="1" applyAlignment="1">
      <alignment horizontal="left" vertical="top"/>
    </xf>
    <xf numFmtId="0" fontId="9"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167" fontId="7" fillId="0" borderId="0" xfId="0" applyNumberFormat="1" applyFont="1" applyAlignment="1">
      <alignment vertical="top"/>
    </xf>
    <xf numFmtId="0" fontId="22" fillId="0" borderId="3" xfId="0" applyFont="1" applyBorder="1" applyAlignment="1">
      <alignment horizontal="left" vertical="top"/>
    </xf>
    <xf numFmtId="0" fontId="22" fillId="0" borderId="0" xfId="0" applyFont="1" applyAlignment="1">
      <alignment horizontal="left" vertical="top"/>
    </xf>
    <xf numFmtId="0" fontId="24" fillId="0" borderId="0" xfId="0" applyFont="1" applyAlignment="1">
      <alignment horizontal="right" vertical="top"/>
    </xf>
    <xf numFmtId="167" fontId="24" fillId="0" borderId="0" xfId="0" applyNumberFormat="1" applyFont="1" applyAlignment="1">
      <alignment horizontal="right" vertical="top"/>
    </xf>
    <xf numFmtId="0" fontId="7" fillId="0" borderId="1" xfId="0" applyFont="1" applyBorder="1" applyAlignment="1">
      <alignment horizontal="left" vertical="top" wrapText="1"/>
    </xf>
    <xf numFmtId="0" fontId="22" fillId="0" borderId="3" xfId="0" applyFont="1" applyBorder="1" applyAlignment="1">
      <alignment horizontal="left" vertical="top" wrapText="1"/>
    </xf>
    <xf numFmtId="167" fontId="7" fillId="0" borderId="0" xfId="0" applyNumberFormat="1" applyFont="1" applyAlignment="1">
      <alignment horizontal="left" vertical="top" wrapText="1"/>
    </xf>
    <xf numFmtId="0" fontId="7" fillId="0" borderId="13" xfId="0" applyFont="1" applyBorder="1" applyAlignment="1">
      <alignment horizontal="left" vertical="top"/>
    </xf>
    <xf numFmtId="3" fontId="24" fillId="0" borderId="0" xfId="0" applyNumberFormat="1" applyFont="1" applyAlignment="1">
      <alignment horizontal="right" vertical="top"/>
    </xf>
    <xf numFmtId="0" fontId="7" fillId="0" borderId="12"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0" xfId="0" applyFont="1" applyAlignment="1">
      <alignment horizontal="right" vertical="top"/>
    </xf>
    <xf numFmtId="2" fontId="24" fillId="0" borderId="0" xfId="0" applyNumberFormat="1" applyFont="1" applyAlignment="1">
      <alignment horizontal="right" vertical="top"/>
    </xf>
    <xf numFmtId="0" fontId="7" fillId="0" borderId="9" xfId="0" applyFont="1" applyBorder="1" applyAlignment="1">
      <alignment horizontal="left" vertical="top"/>
    </xf>
    <xf numFmtId="0" fontId="7" fillId="0" borderId="12" xfId="0" applyFont="1" applyBorder="1" applyAlignment="1">
      <alignment horizontal="left" vertical="top"/>
    </xf>
    <xf numFmtId="167" fontId="24" fillId="0" borderId="12" xfId="0" applyNumberFormat="1" applyFont="1" applyBorder="1" applyAlignment="1">
      <alignment horizontal="right" vertical="top"/>
    </xf>
    <xf numFmtId="0" fontId="24" fillId="0" borderId="12" xfId="0" applyFont="1" applyBorder="1" applyAlignment="1">
      <alignment horizontal="right" vertical="top"/>
    </xf>
    <xf numFmtId="0" fontId="7" fillId="0" borderId="0" xfId="0" applyFont="1" applyAlignment="1">
      <alignment horizontal="left" vertical="top" wrapText="1"/>
    </xf>
    <xf numFmtId="0" fontId="7" fillId="0" borderId="4" xfId="0" applyFont="1" applyBorder="1" applyAlignment="1">
      <alignment horizontal="left" vertical="top"/>
    </xf>
    <xf numFmtId="0" fontId="7" fillId="0" borderId="6" xfId="0" applyFont="1" applyBorder="1" applyAlignment="1">
      <alignment horizontal="left" vertical="top"/>
    </xf>
    <xf numFmtId="167" fontId="24" fillId="0" borderId="14" xfId="0" applyNumberFormat="1" applyFont="1" applyBorder="1" applyAlignment="1">
      <alignment horizontal="right" vertical="top"/>
    </xf>
    <xf numFmtId="167" fontId="7" fillId="0" borderId="14" xfId="0" applyNumberFormat="1" applyFont="1" applyBorder="1" applyAlignment="1">
      <alignment horizontal="left" vertical="top"/>
    </xf>
    <xf numFmtId="167" fontId="7" fillId="0" borderId="1" xfId="0" applyNumberFormat="1" applyFont="1" applyBorder="1" applyAlignment="1">
      <alignment horizontal="left" vertical="top" wrapText="1"/>
    </xf>
    <xf numFmtId="167" fontId="7" fillId="0" borderId="12" xfId="0" applyNumberFormat="1" applyFont="1" applyBorder="1" applyAlignment="1">
      <alignment horizontal="left" vertical="top" wrapText="1"/>
    </xf>
    <xf numFmtId="0" fontId="7" fillId="0" borderId="1" xfId="0" applyFont="1" applyBorder="1" applyAlignment="1">
      <alignment horizontal="left" vertical="top"/>
    </xf>
    <xf numFmtId="167" fontId="24" fillId="0" borderId="1" xfId="0" applyNumberFormat="1" applyFont="1" applyBorder="1" applyAlignment="1">
      <alignment horizontal="right" vertical="top"/>
    </xf>
    <xf numFmtId="167" fontId="7" fillId="0" borderId="0" xfId="0" applyNumberFormat="1" applyFont="1" applyAlignment="1">
      <alignment horizontal="left" vertical="top"/>
    </xf>
    <xf numFmtId="167" fontId="7" fillId="0" borderId="12" xfId="0" applyNumberFormat="1" applyFont="1" applyBorder="1" applyAlignment="1">
      <alignment horizontal="left" vertical="top"/>
    </xf>
    <xf numFmtId="0" fontId="7" fillId="0" borderId="5" xfId="0" applyFont="1" applyBorder="1" applyAlignment="1">
      <alignment horizontal="left" vertical="top"/>
    </xf>
    <xf numFmtId="0" fontId="24" fillId="0" borderId="1" xfId="0" applyFont="1" applyBorder="1" applyAlignment="1">
      <alignment horizontal="right" vertical="top"/>
    </xf>
    <xf numFmtId="0" fontId="0" fillId="0" borderId="0" xfId="0" applyAlignment="1">
      <alignment vertical="top"/>
    </xf>
    <xf numFmtId="0" fontId="7" fillId="0" borderId="8" xfId="0" applyFont="1" applyBorder="1" applyAlignment="1">
      <alignment horizontal="left" vertical="top"/>
    </xf>
    <xf numFmtId="4" fontId="24" fillId="0" borderId="0" xfId="0" applyNumberFormat="1" applyFont="1" applyAlignment="1">
      <alignment horizontal="right" vertical="top"/>
    </xf>
    <xf numFmtId="0" fontId="0" fillId="0" borderId="0" xfId="0" applyAlignment="1">
      <alignment horizontal="left" vertical="top"/>
    </xf>
    <xf numFmtId="0" fontId="0" fillId="0" borderId="12" xfId="0" applyBorder="1" applyAlignment="1">
      <alignment horizontal="left" vertical="top"/>
    </xf>
    <xf numFmtId="167" fontId="7" fillId="0" borderId="0" xfId="0" applyNumberFormat="1" applyFont="1" applyAlignment="1">
      <alignment horizontal="right" vertical="top"/>
    </xf>
    <xf numFmtId="9" fontId="24" fillId="0" borderId="1" xfId="0" applyNumberFormat="1" applyFont="1" applyBorder="1" applyAlignment="1">
      <alignment horizontal="right" vertical="top"/>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1" xfId="0" applyFont="1" applyBorder="1" applyAlignment="1">
      <alignment horizontal="left" vertical="top"/>
    </xf>
    <xf numFmtId="168" fontId="24" fillId="0" borderId="0" xfId="0" applyNumberFormat="1" applyFont="1" applyAlignment="1">
      <alignment horizontal="right" vertical="top"/>
    </xf>
    <xf numFmtId="0" fontId="22" fillId="3" borderId="12" xfId="0" applyFont="1" applyFill="1" applyBorder="1" applyAlignment="1">
      <alignment horizontal="left" vertical="top"/>
    </xf>
    <xf numFmtId="0" fontId="6" fillId="3" borderId="0" xfId="0" applyFont="1" applyFill="1" applyAlignment="1">
      <alignment horizontal="center" vertical="top"/>
    </xf>
    <xf numFmtId="4" fontId="7" fillId="3" borderId="12" xfId="0" applyNumberFormat="1" applyFont="1" applyFill="1" applyBorder="1" applyAlignment="1">
      <alignment horizontal="right"/>
    </xf>
    <xf numFmtId="4" fontId="6" fillId="3" borderId="0" xfId="0" applyNumberFormat="1" applyFont="1" applyFill="1" applyAlignment="1">
      <alignment horizontal="right"/>
    </xf>
    <xf numFmtId="0" fontId="7" fillId="2" borderId="12" xfId="0" applyFont="1" applyFill="1" applyBorder="1" applyAlignment="1">
      <alignment vertical="top"/>
    </xf>
    <xf numFmtId="0" fontId="9" fillId="2" borderId="12" xfId="0" applyFont="1" applyFill="1" applyBorder="1" applyAlignment="1">
      <alignment vertical="top"/>
    </xf>
    <xf numFmtId="0" fontId="9" fillId="2" borderId="14" xfId="0" applyFont="1" applyFill="1" applyBorder="1" applyAlignment="1">
      <alignment horizontal="center" vertical="top" wrapText="1"/>
    </xf>
    <xf numFmtId="3" fontId="29" fillId="2" borderId="12" xfId="0" applyNumberFormat="1" applyFont="1" applyFill="1" applyBorder="1" applyAlignment="1">
      <alignment horizontal="right" vertical="center" indent="3"/>
    </xf>
    <xf numFmtId="3" fontId="29" fillId="2" borderId="12" xfId="0" applyNumberFormat="1" applyFont="1" applyFill="1" applyBorder="1" applyAlignment="1">
      <alignment horizontal="right" vertical="center" indent="5"/>
    </xf>
    <xf numFmtId="3" fontId="9" fillId="2" borderId="12" xfId="0" applyNumberFormat="1" applyFont="1" applyFill="1" applyBorder="1" applyAlignment="1">
      <alignment horizontal="right" vertical="center" indent="3"/>
    </xf>
    <xf numFmtId="4" fontId="6" fillId="2" borderId="0" xfId="0" applyNumberFormat="1" applyFont="1" applyFill="1" applyAlignment="1">
      <alignment vertical="top"/>
    </xf>
    <xf numFmtId="0" fontId="7" fillId="2" borderId="12" xfId="0" applyFont="1" applyFill="1" applyBorder="1" applyAlignment="1">
      <alignment horizontal="left" vertical="top"/>
    </xf>
    <xf numFmtId="164" fontId="6" fillId="2" borderId="0" xfId="0" applyNumberFormat="1" applyFont="1" applyFill="1" applyAlignment="1">
      <alignment vertical="top"/>
    </xf>
    <xf numFmtId="44" fontId="6" fillId="2" borderId="0" xfId="0" applyNumberFormat="1" applyFont="1" applyFill="1" applyAlignment="1">
      <alignment vertical="top"/>
    </xf>
    <xf numFmtId="0" fontId="6" fillId="3" borderId="0" xfId="0" applyFont="1" applyFill="1" applyAlignment="1">
      <alignment horizontal="center"/>
    </xf>
    <xf numFmtId="4" fontId="6" fillId="3" borderId="0" xfId="0" applyNumberFormat="1" applyFont="1" applyFill="1" applyAlignment="1">
      <alignment horizontal="right" vertical="center" indent="2"/>
    </xf>
    <xf numFmtId="4" fontId="12" fillId="3" borderId="0" xfId="0" applyNumberFormat="1" applyFont="1" applyFill="1" applyAlignment="1">
      <alignment horizontal="right" vertical="center" indent="2"/>
    </xf>
    <xf numFmtId="3" fontId="7" fillId="3" borderId="12" xfId="0" applyNumberFormat="1" applyFont="1" applyFill="1" applyBorder="1" applyAlignment="1">
      <alignment horizontal="center" vertical="center"/>
    </xf>
    <xf numFmtId="0" fontId="9" fillId="3" borderId="12" xfId="0" applyFont="1" applyFill="1" applyBorder="1" applyAlignment="1">
      <alignment horizontal="right" vertical="top" wrapText="1"/>
    </xf>
    <xf numFmtId="0" fontId="9" fillId="3" borderId="14" xfId="0" applyFont="1" applyFill="1" applyBorder="1" applyAlignment="1">
      <alignment horizontal="left"/>
    </xf>
    <xf numFmtId="0" fontId="6" fillId="2" borderId="0" xfId="0" quotePrefix="1" applyFont="1" applyFill="1"/>
    <xf numFmtId="4" fontId="6" fillId="2" borderId="0" xfId="0" applyNumberFormat="1" applyFont="1" applyFill="1" applyAlignment="1">
      <alignment horizontal="right" indent="1"/>
    </xf>
    <xf numFmtId="0" fontId="6" fillId="2" borderId="12" xfId="0" applyFont="1" applyFill="1" applyBorder="1"/>
    <xf numFmtId="167" fontId="6" fillId="2" borderId="12" xfId="0" applyNumberFormat="1" applyFont="1" applyFill="1" applyBorder="1" applyAlignment="1">
      <alignment horizontal="right" indent="1"/>
    </xf>
    <xf numFmtId="0" fontId="8" fillId="0" borderId="14" xfId="0" applyFont="1" applyBorder="1" applyAlignment="1">
      <alignment horizontal="left" vertical="top"/>
    </xf>
    <xf numFmtId="0" fontId="9" fillId="0" borderId="14" xfId="0" applyFont="1" applyBorder="1" applyAlignment="1">
      <alignment horizontal="left" vertical="top"/>
    </xf>
    <xf numFmtId="0" fontId="7" fillId="0" borderId="14" xfId="0" applyFont="1" applyBorder="1" applyAlignment="1">
      <alignment horizontal="left" vertical="top"/>
    </xf>
    <xf numFmtId="0" fontId="7" fillId="0" borderId="14" xfId="0" applyFont="1" applyBorder="1" applyAlignment="1">
      <alignment horizontal="right" vertical="top"/>
    </xf>
    <xf numFmtId="0" fontId="7" fillId="0" borderId="14" xfId="0" applyFont="1" applyBorder="1" applyAlignment="1">
      <alignment horizontal="right" vertical="top" wrapText="1"/>
    </xf>
    <xf numFmtId="0" fontId="7" fillId="0" borderId="14" xfId="0" applyFont="1" applyBorder="1" applyAlignment="1">
      <alignment horizontal="left" vertical="top" wrapText="1"/>
    </xf>
    <xf numFmtId="4" fontId="7" fillId="3" borderId="0" xfId="0" applyNumberFormat="1" applyFont="1" applyFill="1" applyAlignment="1">
      <alignment horizontal="left" vertical="top"/>
    </xf>
    <xf numFmtId="2" fontId="4" fillId="2" borderId="0" xfId="0" applyNumberFormat="1" applyFont="1" applyFill="1" applyAlignment="1">
      <alignment horizontal="left" vertical="top"/>
    </xf>
    <xf numFmtId="0" fontId="9" fillId="2" borderId="14" xfId="0" applyFont="1" applyFill="1" applyBorder="1" applyAlignment="1">
      <alignment horizontal="right" vertical="top" wrapText="1"/>
    </xf>
    <xf numFmtId="0" fontId="16" fillId="3" borderId="0" xfId="0" applyFont="1" applyFill="1" applyAlignment="1">
      <alignment horizontal="right" vertical="top"/>
    </xf>
    <xf numFmtId="0" fontId="16" fillId="3" borderId="0" xfId="0" applyFont="1" applyFill="1" applyAlignment="1">
      <alignment vertical="top"/>
    </xf>
    <xf numFmtId="0" fontId="23" fillId="3" borderId="0" xfId="0" applyFont="1" applyFill="1" applyAlignment="1">
      <alignment vertical="top"/>
    </xf>
    <xf numFmtId="0" fontId="15" fillId="3" borderId="0" xfId="0" applyFont="1" applyFill="1" applyAlignment="1">
      <alignment vertical="top"/>
    </xf>
    <xf numFmtId="0" fontId="24" fillId="3" borderId="0" xfId="0" applyFont="1" applyFill="1" applyAlignment="1">
      <alignment vertical="top"/>
    </xf>
    <xf numFmtId="0" fontId="36" fillId="3" borderId="0" xfId="0" applyFont="1" applyFill="1" applyAlignment="1">
      <alignment vertical="top"/>
    </xf>
    <xf numFmtId="1" fontId="9" fillId="3" borderId="0" xfId="0" applyNumberFormat="1" applyFont="1" applyFill="1" applyAlignment="1" applyProtection="1">
      <alignment horizontal="center"/>
      <protection locked="0"/>
    </xf>
    <xf numFmtId="0" fontId="6" fillId="3" borderId="12" xfId="0" applyFont="1" applyFill="1" applyBorder="1" applyAlignment="1">
      <alignment vertical="top"/>
    </xf>
    <xf numFmtId="3" fontId="7" fillId="4" borderId="0" xfId="0" applyNumberFormat="1" applyFont="1" applyFill="1" applyAlignment="1">
      <alignment horizontal="center" vertical="center"/>
    </xf>
    <xf numFmtId="3" fontId="7" fillId="2" borderId="0" xfId="0" applyNumberFormat="1" applyFont="1" applyFill="1" applyAlignment="1">
      <alignment horizontal="right" vertical="top"/>
    </xf>
    <xf numFmtId="3" fontId="6" fillId="2" borderId="0" xfId="0" applyNumberFormat="1" applyFont="1" applyFill="1" applyAlignment="1">
      <alignment horizontal="right" vertical="top"/>
    </xf>
    <xf numFmtId="0" fontId="6" fillId="2" borderId="0" xfId="0" applyFont="1" applyFill="1" applyAlignment="1">
      <alignment horizontal="right" vertical="top"/>
    </xf>
    <xf numFmtId="3" fontId="7" fillId="2" borderId="12" xfId="0" applyNumberFormat="1" applyFont="1" applyFill="1" applyBorder="1" applyAlignment="1">
      <alignment horizontal="right" vertical="top"/>
    </xf>
    <xf numFmtId="3" fontId="6" fillId="2" borderId="12" xfId="0" applyNumberFormat="1" applyFont="1" applyFill="1" applyBorder="1" applyAlignment="1">
      <alignment horizontal="right" vertical="top"/>
    </xf>
    <xf numFmtId="3" fontId="24" fillId="2" borderId="0" xfId="0" applyNumberFormat="1" applyFont="1" applyFill="1" applyAlignment="1" applyProtection="1">
      <alignment horizontal="right" vertical="top"/>
      <protection locked="0"/>
    </xf>
    <xf numFmtId="1" fontId="6" fillId="3" borderId="0" xfId="0" applyNumberFormat="1" applyFont="1" applyFill="1"/>
    <xf numFmtId="2" fontId="7" fillId="3" borderId="0" xfId="0" applyNumberFormat="1" applyFont="1" applyFill="1" applyAlignment="1" applyProtection="1">
      <alignment horizontal="right" vertical="top"/>
      <protection locked="0"/>
    </xf>
    <xf numFmtId="4" fontId="7" fillId="3" borderId="0" xfId="0" applyNumberFormat="1" applyFont="1" applyFill="1" applyAlignment="1" applyProtection="1">
      <alignment horizontal="right" vertical="top"/>
      <protection locked="0"/>
    </xf>
    <xf numFmtId="43" fontId="7" fillId="3" borderId="0" xfId="0" applyNumberFormat="1" applyFont="1" applyFill="1" applyAlignment="1">
      <alignment horizontal="right" vertical="top"/>
    </xf>
    <xf numFmtId="0" fontId="9" fillId="3" borderId="14" xfId="0" applyFont="1" applyFill="1" applyBorder="1" applyAlignment="1">
      <alignment horizontal="center" vertical="top" wrapText="1"/>
    </xf>
    <xf numFmtId="0" fontId="8" fillId="3" borderId="14" xfId="0" applyFont="1" applyFill="1" applyBorder="1" applyAlignment="1">
      <alignment horizontal="left"/>
    </xf>
    <xf numFmtId="0" fontId="6" fillId="3" borderId="14" xfId="0" applyFont="1" applyFill="1" applyBorder="1"/>
    <xf numFmtId="0" fontId="16" fillId="3" borderId="0" xfId="0" applyFont="1" applyFill="1"/>
    <xf numFmtId="0" fontId="5" fillId="3" borderId="12" xfId="0" applyFont="1" applyFill="1" applyBorder="1" applyAlignment="1">
      <alignment horizontal="left" vertical="top" wrapText="1"/>
    </xf>
    <xf numFmtId="0" fontId="9" fillId="3" borderId="14" xfId="0" applyFont="1" applyFill="1" applyBorder="1" applyAlignment="1">
      <alignment horizontal="left" vertical="top"/>
    </xf>
    <xf numFmtId="0" fontId="9" fillId="3" borderId="14" xfId="0" applyFont="1" applyFill="1" applyBorder="1" applyAlignment="1">
      <alignment horizontal="right" vertical="top"/>
    </xf>
    <xf numFmtId="0" fontId="9" fillId="3" borderId="12" xfId="0" applyFont="1" applyFill="1" applyBorder="1" applyAlignment="1">
      <alignment horizontal="right" vertical="top"/>
    </xf>
    <xf numFmtId="0" fontId="6" fillId="3" borderId="0" xfId="0" applyFont="1" applyFill="1" applyAlignment="1">
      <alignment horizontal="left"/>
    </xf>
    <xf numFmtId="0" fontId="22"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6" fillId="3" borderId="12" xfId="0" applyFont="1" applyFill="1" applyBorder="1" applyAlignment="1">
      <alignment horizontal="left"/>
    </xf>
    <xf numFmtId="0" fontId="7" fillId="3" borderId="12" xfId="0" applyFont="1" applyFill="1" applyBorder="1" applyAlignment="1">
      <alignment horizontal="left"/>
    </xf>
    <xf numFmtId="4" fontId="9" fillId="3" borderId="0" xfId="0" applyNumberFormat="1" applyFont="1" applyFill="1" applyAlignment="1">
      <alignment horizontal="right"/>
    </xf>
    <xf numFmtId="2" fontId="7" fillId="3" borderId="0" xfId="0" applyNumberFormat="1" applyFont="1" applyFill="1" applyAlignment="1" applyProtection="1">
      <alignment horizontal="right"/>
      <protection locked="0"/>
    </xf>
    <xf numFmtId="4" fontId="48" fillId="3" borderId="0" xfId="0" applyNumberFormat="1" applyFont="1" applyFill="1" applyAlignment="1">
      <alignment horizontal="right"/>
    </xf>
    <xf numFmtId="2" fontId="9" fillId="3" borderId="0" xfId="0" applyNumberFormat="1" applyFont="1" applyFill="1" applyAlignment="1">
      <alignment horizontal="right"/>
    </xf>
    <xf numFmtId="43" fontId="9" fillId="3" borderId="0" xfId="0" applyNumberFormat="1" applyFont="1" applyFill="1" applyAlignment="1">
      <alignment horizontal="right"/>
    </xf>
    <xf numFmtId="4" fontId="9" fillId="3" borderId="0" xfId="0" applyNumberFormat="1" applyFont="1" applyFill="1"/>
    <xf numFmtId="3" fontId="9" fillId="3" borderId="0" xfId="0" applyNumberFormat="1" applyFont="1" applyFill="1" applyAlignment="1">
      <alignment horizontal="right"/>
    </xf>
    <xf numFmtId="0" fontId="11" fillId="3" borderId="0" xfId="0" applyFont="1" applyFill="1" applyAlignment="1" applyProtection="1">
      <alignment horizontal="left" vertical="top" wrapText="1"/>
      <protection locked="0"/>
    </xf>
    <xf numFmtId="9" fontId="27" fillId="3" borderId="0" xfId="0" applyNumberFormat="1" applyFont="1" applyFill="1" applyAlignment="1">
      <alignment horizontal="left" vertical="center"/>
    </xf>
    <xf numFmtId="0" fontId="9" fillId="3" borderId="14" xfId="0" applyFont="1" applyFill="1" applyBorder="1" applyAlignment="1">
      <alignment vertical="top" wrapText="1"/>
    </xf>
    <xf numFmtId="0" fontId="29" fillId="3" borderId="12" xfId="0" applyFont="1" applyFill="1" applyBorder="1" applyAlignment="1" applyProtection="1">
      <alignment horizontal="left" indent="5"/>
      <protection locked="0"/>
    </xf>
    <xf numFmtId="1" fontId="9" fillId="3" borderId="12" xfId="0" applyNumberFormat="1" applyFont="1" applyFill="1" applyBorder="1" applyAlignment="1" applyProtection="1">
      <alignment horizontal="center"/>
      <protection locked="0"/>
    </xf>
    <xf numFmtId="3" fontId="7" fillId="4" borderId="12" xfId="0" applyNumberFormat="1" applyFont="1" applyFill="1" applyBorder="1" applyAlignment="1">
      <alignment horizontal="center" vertical="center"/>
    </xf>
    <xf numFmtId="0" fontId="9" fillId="2" borderId="14" xfId="0" applyFont="1" applyFill="1" applyBorder="1" applyAlignment="1">
      <alignment vertical="top"/>
    </xf>
    <xf numFmtId="0" fontId="5" fillId="2" borderId="14" xfId="0" applyFont="1" applyFill="1" applyBorder="1" applyAlignment="1">
      <alignment horizontal="right" vertical="top"/>
    </xf>
    <xf numFmtId="4" fontId="7" fillId="2" borderId="12" xfId="0" applyNumberFormat="1" applyFont="1" applyFill="1" applyBorder="1" applyAlignment="1">
      <alignment vertical="top"/>
    </xf>
    <xf numFmtId="0" fontId="6" fillId="2" borderId="12" xfId="0" applyFont="1" applyFill="1" applyBorder="1" applyAlignment="1">
      <alignment horizontal="right" vertical="top"/>
    </xf>
    <xf numFmtId="169" fontId="7" fillId="2" borderId="0" xfId="0" applyNumberFormat="1" applyFont="1" applyFill="1" applyAlignment="1">
      <alignment horizontal="right"/>
    </xf>
    <xf numFmtId="3" fontId="7" fillId="2" borderId="0" xfId="0" applyNumberFormat="1" applyFont="1" applyFill="1"/>
    <xf numFmtId="3" fontId="7" fillId="2" borderId="0" xfId="0" applyNumberFormat="1" applyFont="1" applyFill="1" applyAlignment="1">
      <alignment horizontal="right"/>
    </xf>
    <xf numFmtId="3" fontId="7" fillId="2" borderId="12" xfId="0" applyNumberFormat="1" applyFont="1" applyFill="1" applyBorder="1"/>
    <xf numFmtId="3" fontId="7" fillId="2" borderId="12" xfId="0" applyNumberFormat="1" applyFont="1" applyFill="1" applyBorder="1" applyAlignment="1">
      <alignment horizontal="right"/>
    </xf>
    <xf numFmtId="3" fontId="36" fillId="2" borderId="12" xfId="0" applyNumberFormat="1" applyFont="1" applyFill="1" applyBorder="1"/>
    <xf numFmtId="0" fontId="9" fillId="2" borderId="14"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4" xfId="0" applyFont="1" applyFill="1" applyBorder="1" applyAlignment="1">
      <alignment horizontal="right" vertical="top" wrapText="1"/>
    </xf>
    <xf numFmtId="165" fontId="20" fillId="2" borderId="0" xfId="3" applyNumberFormat="1" applyFont="1" applyFill="1" applyBorder="1" applyAlignment="1" applyProtection="1">
      <alignment horizontal="left" vertical="top"/>
      <protection locked="0"/>
    </xf>
    <xf numFmtId="4" fontId="7" fillId="3" borderId="0" xfId="0" applyNumberFormat="1" applyFont="1" applyFill="1" applyAlignment="1" applyProtection="1">
      <alignment horizontal="right"/>
      <protection locked="0"/>
    </xf>
    <xf numFmtId="3" fontId="7" fillId="3" borderId="0" xfId="0" applyNumberFormat="1" applyFont="1" applyFill="1" applyAlignment="1">
      <alignment horizontal="right"/>
    </xf>
    <xf numFmtId="3" fontId="15" fillId="3" borderId="0" xfId="0" applyNumberFormat="1" applyFont="1" applyFill="1" applyAlignment="1">
      <alignment horizontal="right"/>
    </xf>
    <xf numFmtId="4" fontId="12" fillId="3" borderId="0" xfId="0" applyNumberFormat="1" applyFont="1" applyFill="1" applyAlignment="1">
      <alignment horizontal="right"/>
    </xf>
    <xf numFmtId="0" fontId="6" fillId="3" borderId="12" xfId="0" applyFont="1" applyFill="1" applyBorder="1"/>
    <xf numFmtId="3" fontId="7" fillId="3" borderId="12" xfId="0" applyNumberFormat="1" applyFont="1" applyFill="1" applyBorder="1" applyAlignment="1">
      <alignment horizontal="right"/>
    </xf>
    <xf numFmtId="0" fontId="5" fillId="3" borderId="14" xfId="0" applyFont="1" applyFill="1" applyBorder="1" applyAlignment="1">
      <alignment vertical="top"/>
    </xf>
    <xf numFmtId="0" fontId="9" fillId="3" borderId="14" xfId="0" applyFont="1" applyFill="1" applyBorder="1" applyAlignment="1">
      <alignment horizontal="left" vertical="top" wrapText="1"/>
    </xf>
    <xf numFmtId="0" fontId="9" fillId="3" borderId="14" xfId="0" applyFont="1" applyFill="1" applyBorder="1" applyAlignment="1">
      <alignment horizontal="right" vertical="top" wrapText="1"/>
    </xf>
    <xf numFmtId="3" fontId="7" fillId="3" borderId="0" xfId="0" applyNumberFormat="1" applyFont="1" applyFill="1" applyAlignment="1">
      <alignment horizontal="right" vertical="center"/>
    </xf>
    <xf numFmtId="4" fontId="7" fillId="3" borderId="0" xfId="0" applyNumberFormat="1" applyFont="1" applyFill="1" applyAlignment="1" applyProtection="1">
      <alignment horizontal="right" vertical="center"/>
      <protection locked="0"/>
    </xf>
    <xf numFmtId="3" fontId="7" fillId="3" borderId="12" xfId="0" applyNumberFormat="1" applyFont="1" applyFill="1" applyBorder="1" applyAlignment="1">
      <alignment horizontal="right" vertical="center"/>
    </xf>
    <xf numFmtId="164" fontId="7" fillId="3" borderId="0" xfId="1" applyNumberFormat="1" applyFont="1" applyFill="1" applyAlignment="1">
      <alignment horizontal="right"/>
    </xf>
    <xf numFmtId="4" fontId="7" fillId="3" borderId="0" xfId="0" applyNumberFormat="1" applyFont="1" applyFill="1" applyAlignment="1">
      <alignment horizontal="right" vertical="center"/>
    </xf>
    <xf numFmtId="166" fontId="7" fillId="3" borderId="0" xfId="0" applyNumberFormat="1" applyFont="1" applyFill="1" applyAlignment="1" applyProtection="1">
      <alignment horizontal="right" vertical="center"/>
      <protection locked="0"/>
    </xf>
    <xf numFmtId="4" fontId="7" fillId="3" borderId="12" xfId="0" applyNumberFormat="1" applyFont="1" applyFill="1" applyBorder="1" applyAlignment="1" applyProtection="1">
      <alignment horizontal="right" vertical="center"/>
      <protection locked="0"/>
    </xf>
    <xf numFmtId="4" fontId="7" fillId="3" borderId="12" xfId="0" applyNumberFormat="1" applyFont="1" applyFill="1" applyBorder="1" applyAlignment="1">
      <alignment horizontal="right" vertical="center"/>
    </xf>
    <xf numFmtId="0" fontId="7" fillId="0" borderId="0" xfId="0" applyFont="1" applyAlignment="1">
      <alignment horizontal="left"/>
    </xf>
    <xf numFmtId="0" fontId="11" fillId="3" borderId="0" xfId="0" applyFont="1" applyFill="1" applyAlignment="1">
      <alignment horizontal="left"/>
    </xf>
    <xf numFmtId="0" fontId="9" fillId="3" borderId="14" xfId="0" applyFont="1" applyFill="1" applyBorder="1" applyAlignment="1">
      <alignment horizontal="right" wrapText="1"/>
    </xf>
    <xf numFmtId="0" fontId="9" fillId="3" borderId="12" xfId="0" applyFont="1" applyFill="1" applyBorder="1" applyAlignment="1">
      <alignment horizontal="right" wrapText="1"/>
    </xf>
    <xf numFmtId="0" fontId="5" fillId="3" borderId="14" xfId="0" applyFont="1" applyFill="1" applyBorder="1" applyAlignment="1">
      <alignment horizontal="center" vertical="top" wrapText="1"/>
    </xf>
    <xf numFmtId="9" fontId="9" fillId="3" borderId="14" xfId="2" applyFont="1" applyFill="1" applyBorder="1" applyAlignment="1">
      <alignment horizontal="center" vertical="top" wrapText="1"/>
    </xf>
    <xf numFmtId="0" fontId="40" fillId="3" borderId="14" xfId="0" applyFont="1" applyFill="1" applyBorder="1" applyAlignment="1">
      <alignment horizontal="center" vertical="top" wrapText="1"/>
    </xf>
    <xf numFmtId="3" fontId="7" fillId="3" borderId="14" xfId="0" applyNumberFormat="1" applyFont="1" applyFill="1" applyBorder="1" applyAlignment="1" applyProtection="1">
      <alignment horizontal="center" vertical="center"/>
      <protection locked="0"/>
    </xf>
    <xf numFmtId="9" fontId="7" fillId="3" borderId="14" xfId="2" applyFont="1" applyFill="1" applyBorder="1" applyAlignment="1" applyProtection="1">
      <alignment horizontal="center" vertical="center"/>
      <protection locked="0"/>
    </xf>
    <xf numFmtId="1" fontId="22" fillId="3" borderId="0" xfId="0" applyNumberFormat="1" applyFont="1" applyFill="1" applyAlignment="1">
      <alignment horizontal="center"/>
    </xf>
    <xf numFmtId="1" fontId="22" fillId="3" borderId="12" xfId="0" applyNumberFormat="1" applyFont="1" applyFill="1" applyBorder="1" applyAlignment="1">
      <alignment horizontal="center"/>
    </xf>
    <xf numFmtId="3" fontId="7" fillId="3" borderId="1" xfId="0" applyNumberFormat="1" applyFont="1" applyFill="1" applyBorder="1" applyAlignment="1" applyProtection="1">
      <alignment horizontal="center" vertical="center"/>
      <protection locked="0"/>
    </xf>
    <xf numFmtId="3" fontId="24" fillId="3" borderId="0" xfId="0" applyNumberFormat="1" applyFont="1" applyFill="1" applyAlignment="1" applyProtection="1">
      <alignment horizontal="center" vertical="center"/>
      <protection locked="0"/>
    </xf>
    <xf numFmtId="9" fontId="24" fillId="3" borderId="0" xfId="2" applyFont="1" applyFill="1" applyBorder="1" applyAlignment="1" applyProtection="1">
      <alignment horizontal="center" vertical="center"/>
      <protection locked="0"/>
    </xf>
    <xf numFmtId="1" fontId="7" fillId="3" borderId="0" xfId="0" applyNumberFormat="1" applyFont="1" applyFill="1" applyAlignment="1">
      <alignment horizontal="center"/>
    </xf>
    <xf numFmtId="3" fontId="7" fillId="3" borderId="12" xfId="0" applyNumberFormat="1" applyFont="1" applyFill="1" applyBorder="1" applyAlignment="1" applyProtection="1">
      <alignment horizontal="center" vertical="center"/>
      <protection locked="0"/>
    </xf>
    <xf numFmtId="3" fontId="24" fillId="3" borderId="12" xfId="0" applyNumberFormat="1" applyFont="1" applyFill="1" applyBorder="1" applyAlignment="1" applyProtection="1">
      <alignment horizontal="center" vertical="center"/>
      <protection locked="0"/>
    </xf>
    <xf numFmtId="1" fontId="7" fillId="3" borderId="12" xfId="0" applyNumberFormat="1" applyFont="1" applyFill="1" applyBorder="1" applyAlignment="1">
      <alignment horizontal="center"/>
    </xf>
    <xf numFmtId="3" fontId="9" fillId="3" borderId="14" xfId="0" applyNumberFormat="1" applyFont="1" applyFill="1" applyBorder="1" applyAlignment="1" applyProtection="1">
      <alignment horizontal="center" vertical="center"/>
      <protection locked="0"/>
    </xf>
    <xf numFmtId="3" fontId="9" fillId="3" borderId="14" xfId="0" applyNumberFormat="1" applyFont="1" applyFill="1" applyBorder="1" applyAlignment="1">
      <alignment horizontal="center"/>
    </xf>
    <xf numFmtId="1" fontId="9" fillId="3" borderId="14" xfId="0" applyNumberFormat="1" applyFont="1" applyFill="1" applyBorder="1" applyAlignment="1">
      <alignment horizontal="center"/>
    </xf>
    <xf numFmtId="3" fontId="11" fillId="3" borderId="0" xfId="0" applyNumberFormat="1" applyFont="1" applyFill="1" applyAlignment="1" applyProtection="1">
      <alignment horizontal="center" vertical="center"/>
      <protection locked="0"/>
    </xf>
    <xf numFmtId="3" fontId="37" fillId="3" borderId="0" xfId="0" applyNumberFormat="1" applyFont="1" applyFill="1" applyAlignment="1" applyProtection="1">
      <alignment horizontal="center" vertical="center"/>
      <protection locked="0"/>
    </xf>
    <xf numFmtId="0" fontId="11" fillId="3" borderId="0" xfId="0" applyFont="1" applyFill="1" applyAlignment="1">
      <alignment horizontal="center"/>
    </xf>
    <xf numFmtId="0" fontId="26" fillId="3" borderId="0" xfId="0" applyFont="1" applyFill="1" applyAlignment="1">
      <alignment horizontal="center"/>
    </xf>
    <xf numFmtId="3" fontId="11" fillId="3" borderId="0" xfId="0" applyNumberFormat="1" applyFont="1" applyFill="1" applyAlignment="1" applyProtection="1">
      <alignment horizontal="center" vertical="top"/>
      <protection locked="0"/>
    </xf>
    <xf numFmtId="3" fontId="37" fillId="3" borderId="0" xfId="0" applyNumberFormat="1" applyFont="1" applyFill="1" applyAlignment="1" applyProtection="1">
      <alignment horizontal="center" vertical="top"/>
      <protection locked="0"/>
    </xf>
    <xf numFmtId="0" fontId="11" fillId="3" borderId="0" xfId="0" applyFont="1" applyFill="1" applyAlignment="1">
      <alignment horizontal="center" vertical="top"/>
    </xf>
    <xf numFmtId="0" fontId="26" fillId="3" borderId="0" xfId="0" applyFont="1" applyFill="1" applyAlignment="1">
      <alignment horizontal="center" vertical="top"/>
    </xf>
    <xf numFmtId="0" fontId="13" fillId="3" borderId="0" xfId="0" applyFont="1" applyFill="1" applyAlignment="1">
      <alignment horizontal="center"/>
    </xf>
    <xf numFmtId="0" fontId="5" fillId="2" borderId="14" xfId="0" applyFont="1" applyFill="1" applyBorder="1" applyAlignment="1">
      <alignment horizontal="left" wrapText="1"/>
    </xf>
    <xf numFmtId="0" fontId="5" fillId="2" borderId="14" xfId="0" applyFont="1" applyFill="1" applyBorder="1" applyAlignment="1">
      <alignment horizontal="right" wrapText="1"/>
    </xf>
    <xf numFmtId="170" fontId="24" fillId="0" borderId="0" xfId="0" applyNumberFormat="1" applyFont="1" applyAlignment="1">
      <alignment horizontal="right" vertical="top"/>
    </xf>
    <xf numFmtId="170" fontId="24" fillId="0" borderId="12" xfId="0" applyNumberFormat="1" applyFont="1" applyBorder="1" applyAlignment="1">
      <alignment horizontal="right" vertical="top"/>
    </xf>
    <xf numFmtId="170" fontId="24" fillId="0" borderId="14" xfId="0" applyNumberFormat="1" applyFont="1" applyBorder="1" applyAlignment="1">
      <alignment horizontal="right" vertical="top"/>
    </xf>
    <xf numFmtId="170" fontId="24" fillId="0" borderId="1" xfId="0" applyNumberFormat="1" applyFont="1" applyBorder="1" applyAlignment="1">
      <alignment horizontal="right" vertical="top"/>
    </xf>
    <xf numFmtId="3" fontId="7" fillId="3" borderId="0" xfId="0" applyNumberFormat="1" applyFont="1" applyFill="1" applyAlignment="1" applyProtection="1">
      <alignment horizontal="right"/>
      <protection locked="0"/>
    </xf>
    <xf numFmtId="3" fontId="48" fillId="3" borderId="0" xfId="0" applyNumberFormat="1" applyFont="1" applyFill="1" applyAlignment="1">
      <alignment horizontal="right"/>
    </xf>
    <xf numFmtId="3" fontId="48" fillId="3" borderId="0" xfId="0" applyNumberFormat="1" applyFont="1" applyFill="1"/>
    <xf numFmtId="3" fontId="9" fillId="3" borderId="0" xfId="0" applyNumberFormat="1" applyFont="1" applyFill="1"/>
    <xf numFmtId="0" fontId="28" fillId="3" borderId="0" xfId="0" applyFont="1" applyFill="1" applyAlignment="1">
      <alignment vertical="top" wrapText="1"/>
    </xf>
    <xf numFmtId="171" fontId="30" fillId="3" borderId="0" xfId="0" applyNumberFormat="1" applyFont="1" applyFill="1" applyAlignment="1">
      <alignment horizontal="left" vertical="center"/>
    </xf>
    <xf numFmtId="3" fontId="6" fillId="3" borderId="12" xfId="0" applyNumberFormat="1" applyFont="1" applyFill="1" applyBorder="1" applyAlignment="1">
      <alignment horizontal="right"/>
    </xf>
    <xf numFmtId="3" fontId="24" fillId="3" borderId="12" xfId="0" applyNumberFormat="1" applyFont="1" applyFill="1" applyBorder="1" applyAlignment="1">
      <alignment horizontal="right"/>
    </xf>
    <xf numFmtId="0" fontId="28" fillId="3" borderId="0" xfId="0" applyFont="1" applyFill="1" applyAlignment="1">
      <alignment horizontal="left" vertical="top" wrapText="1"/>
    </xf>
    <xf numFmtId="0" fontId="24" fillId="3" borderId="12" xfId="0" applyFont="1" applyFill="1" applyBorder="1" applyAlignment="1">
      <alignment horizontal="left" vertical="top" wrapText="1"/>
    </xf>
    <xf numFmtId="0" fontId="8" fillId="3" borderId="12" xfId="0" applyFont="1" applyFill="1" applyBorder="1" applyAlignment="1">
      <alignment horizontal="left" vertical="top"/>
    </xf>
    <xf numFmtId="0" fontId="7" fillId="3" borderId="0" xfId="0" applyFont="1" applyFill="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11" fillId="3" borderId="0" xfId="0" applyFont="1" applyFill="1" applyAlignment="1">
      <alignment horizontal="left" vertical="top" wrapText="1"/>
    </xf>
    <xf numFmtId="0" fontId="4" fillId="3" borderId="0" xfId="0" applyFont="1" applyFill="1" applyAlignment="1">
      <alignment horizontal="left" vertical="top" wrapText="1"/>
    </xf>
    <xf numFmtId="0" fontId="8" fillId="3" borderId="12" xfId="0" applyFont="1" applyFill="1" applyBorder="1" applyAlignment="1">
      <alignment horizontal="left" vertical="top" wrapText="1"/>
    </xf>
    <xf numFmtId="0" fontId="11" fillId="3" borderId="0" xfId="0" applyFont="1" applyFill="1" applyAlignment="1" applyProtection="1">
      <alignment horizontal="left" vertical="top" wrapText="1"/>
      <protection locked="0"/>
    </xf>
    <xf numFmtId="0" fontId="2" fillId="2" borderId="12" xfId="0" applyFont="1" applyFill="1" applyBorder="1" applyAlignment="1">
      <alignment horizontal="left" vertical="top" wrapText="1"/>
    </xf>
    <xf numFmtId="0" fontId="4" fillId="2" borderId="0" xfId="0" applyFont="1" applyFill="1" applyAlignment="1">
      <alignment horizontal="left" vertical="top" wrapText="1"/>
    </xf>
    <xf numFmtId="0" fontId="8" fillId="2" borderId="12" xfId="0" applyFont="1" applyFill="1" applyBorder="1" applyAlignment="1">
      <alignment horizontal="left" vertical="top" wrapText="1"/>
    </xf>
    <xf numFmtId="0" fontId="26" fillId="3" borderId="0" xfId="0" applyFont="1" applyFill="1" applyAlignment="1">
      <alignment horizontal="left" vertical="top" wrapText="1"/>
    </xf>
    <xf numFmtId="0" fontId="26" fillId="3" borderId="0" xfId="0" applyFont="1" applyFill="1" applyAlignment="1">
      <alignment horizontal="left" vertical="top"/>
    </xf>
    <xf numFmtId="0" fontId="8" fillId="3" borderId="12" xfId="0" applyFont="1" applyFill="1" applyBorder="1" applyAlignment="1">
      <alignment horizontal="left" wrapText="1"/>
    </xf>
    <xf numFmtId="0" fontId="2" fillId="2" borderId="12" xfId="0" applyFont="1" applyFill="1" applyBorder="1" applyAlignment="1">
      <alignment horizontal="left" wrapText="1"/>
    </xf>
    <xf numFmtId="167" fontId="7" fillId="0" borderId="1" xfId="0" applyNumberFormat="1" applyFont="1" applyBorder="1" applyAlignment="1">
      <alignment horizontal="left" vertical="top" wrapText="1"/>
    </xf>
    <xf numFmtId="167" fontId="7" fillId="0" borderId="12" xfId="0" applyNumberFormat="1" applyFont="1" applyBorder="1" applyAlignment="1">
      <alignment horizontal="left" vertical="top" wrapText="1"/>
    </xf>
  </cellXfs>
  <cellStyles count="16">
    <cellStyle name="Currency 2" xfId="1" xr:uid="{00000000-0005-0000-0000-000000000000}"/>
    <cellStyle name="Followed Hyperlink" xfId="13" builtinId="9" hidden="1"/>
    <cellStyle name="Followed Hyperlink" xfId="15"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0" builtinId="8" hidden="1"/>
    <cellStyle name="Hyperlink" xfId="12" builtinId="8" hidden="1"/>
    <cellStyle name="Hyperlink" xfId="14" builtinId="8" hidden="1"/>
    <cellStyle name="Hyperlink" xfId="6" builtinId="8" hidden="1"/>
    <cellStyle name="Hyperlink" xfId="8" builtinId="8" hidden="1"/>
    <cellStyle name="Hyperlink" xfId="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109375" defaultRowHeight="13.8" x14ac:dyDescent="0.3"/>
  <cols>
    <col min="1" max="2" width="9.109375" style="60"/>
    <col min="3" max="3" width="21.44140625" style="60" customWidth="1"/>
    <col min="4" max="10" width="9.109375" style="60"/>
    <col min="11" max="11" width="15.6640625" style="60" customWidth="1"/>
    <col min="12" max="12" width="9.109375" style="60"/>
    <col min="13" max="13" width="4.6640625" style="60" customWidth="1"/>
    <col min="14" max="14" width="14.6640625" style="60" customWidth="1"/>
    <col min="15" max="16384" width="9.109375" style="60"/>
  </cols>
  <sheetData>
    <row r="2" spans="2:17" ht="45" customHeight="1" x14ac:dyDescent="0.3">
      <c r="B2" s="301" t="s">
        <v>405</v>
      </c>
      <c r="C2" s="301"/>
      <c r="D2" s="301"/>
      <c r="E2" s="301"/>
      <c r="F2" s="301"/>
      <c r="G2" s="301"/>
      <c r="H2" s="301"/>
      <c r="I2" s="301"/>
      <c r="J2" s="301"/>
      <c r="K2" s="301"/>
      <c r="L2" s="297"/>
    </row>
    <row r="3" spans="2:17" ht="19.5" customHeight="1" x14ac:dyDescent="0.3">
      <c r="B3" s="66" t="s">
        <v>0</v>
      </c>
    </row>
    <row r="5" spans="2:17" x14ac:dyDescent="0.3">
      <c r="B5" s="72" t="s">
        <v>1</v>
      </c>
      <c r="C5" s="57"/>
      <c r="D5" s="57"/>
      <c r="E5" s="57"/>
      <c r="F5" s="57"/>
      <c r="G5" s="57"/>
      <c r="H5" s="57"/>
      <c r="I5" s="57"/>
      <c r="J5" s="57"/>
    </row>
    <row r="6" spans="2:17" ht="18.75" customHeight="1" x14ac:dyDescent="0.3">
      <c r="B6" s="86" t="s">
        <v>2</v>
      </c>
      <c r="C6" s="306" t="s">
        <v>3</v>
      </c>
      <c r="D6" s="306"/>
      <c r="E6" s="306"/>
      <c r="F6" s="306"/>
      <c r="G6" s="306"/>
      <c r="H6" s="306"/>
      <c r="I6" s="306"/>
      <c r="J6" s="306"/>
      <c r="K6" s="306"/>
    </row>
    <row r="7" spans="2:17" x14ac:dyDescent="0.3">
      <c r="B7" s="86" t="s">
        <v>4</v>
      </c>
      <c r="C7" s="57" t="s">
        <v>5</v>
      </c>
      <c r="D7" s="57"/>
      <c r="E7" s="57"/>
      <c r="F7" s="57"/>
      <c r="G7" s="57"/>
      <c r="H7" s="57"/>
      <c r="I7" s="57"/>
      <c r="J7" s="57"/>
    </row>
    <row r="8" spans="2:17" ht="45" customHeight="1" x14ac:dyDescent="0.3">
      <c r="B8" s="87" t="s">
        <v>6</v>
      </c>
      <c r="C8" s="304" t="s">
        <v>410</v>
      </c>
      <c r="D8" s="304"/>
      <c r="E8" s="304"/>
      <c r="F8" s="304"/>
      <c r="G8" s="304"/>
      <c r="H8" s="304"/>
      <c r="I8" s="304"/>
      <c r="J8" s="304"/>
      <c r="K8" s="304"/>
    </row>
    <row r="9" spans="2:17" ht="18.75" customHeight="1" x14ac:dyDescent="0.3">
      <c r="B9" s="87" t="s">
        <v>7</v>
      </c>
      <c r="C9" s="304" t="s">
        <v>368</v>
      </c>
      <c r="D9" s="304"/>
      <c r="E9" s="304"/>
      <c r="F9" s="304"/>
      <c r="G9" s="304"/>
      <c r="H9" s="304"/>
      <c r="I9" s="304"/>
      <c r="J9" s="304"/>
      <c r="K9" s="304"/>
    </row>
    <row r="10" spans="2:17" x14ac:dyDescent="0.3">
      <c r="C10" s="304"/>
      <c r="D10" s="304"/>
      <c r="E10" s="304"/>
      <c r="F10" s="304"/>
      <c r="G10" s="304"/>
      <c r="H10" s="304"/>
      <c r="I10" s="304"/>
      <c r="J10" s="304"/>
      <c r="K10" s="304"/>
    </row>
    <row r="11" spans="2:17" x14ac:dyDescent="0.3">
      <c r="C11" s="304"/>
      <c r="D11" s="304"/>
      <c r="E11" s="304"/>
      <c r="F11" s="304"/>
      <c r="G11" s="304"/>
      <c r="H11" s="304"/>
      <c r="I11" s="304"/>
      <c r="J11" s="304"/>
      <c r="K11" s="304"/>
    </row>
    <row r="13" spans="2:17" x14ac:dyDescent="0.3">
      <c r="B13" s="88" t="s">
        <v>8</v>
      </c>
      <c r="O13" s="178"/>
      <c r="P13" s="178"/>
    </row>
    <row r="14" spans="2:17" ht="32.4" customHeight="1" x14ac:dyDescent="0.3">
      <c r="B14" s="89" t="s">
        <v>2</v>
      </c>
      <c r="C14" s="304" t="s">
        <v>9</v>
      </c>
      <c r="D14" s="304"/>
      <c r="E14" s="304"/>
      <c r="F14" s="304"/>
      <c r="G14" s="304"/>
      <c r="H14" s="304"/>
      <c r="I14" s="304"/>
      <c r="J14" s="304"/>
      <c r="K14" s="304"/>
      <c r="O14" s="179"/>
      <c r="P14" s="179"/>
      <c r="Q14" s="179"/>
    </row>
    <row r="15" spans="2:17" ht="45" customHeight="1" x14ac:dyDescent="0.3">
      <c r="B15" s="89" t="s">
        <v>4</v>
      </c>
      <c r="C15" s="304" t="s">
        <v>369</v>
      </c>
      <c r="D15" s="304"/>
      <c r="E15" s="304"/>
      <c r="F15" s="304"/>
      <c r="G15" s="304"/>
      <c r="H15" s="304"/>
      <c r="I15" s="304"/>
      <c r="J15" s="304"/>
      <c r="K15" s="304"/>
      <c r="O15" s="179"/>
      <c r="P15" s="179"/>
      <c r="Q15" s="179"/>
    </row>
    <row r="16" spans="2:17" ht="31.2" customHeight="1" x14ac:dyDescent="0.3">
      <c r="B16" s="89" t="s">
        <v>6</v>
      </c>
      <c r="C16" s="304" t="s">
        <v>10</v>
      </c>
      <c r="D16" s="304"/>
      <c r="E16" s="304"/>
      <c r="F16" s="304"/>
      <c r="G16" s="304"/>
      <c r="H16" s="304"/>
      <c r="I16" s="304"/>
      <c r="J16" s="304"/>
      <c r="K16" s="304"/>
      <c r="O16" s="179"/>
      <c r="P16" s="179"/>
      <c r="Q16" s="179"/>
    </row>
    <row r="17" spans="1:17" ht="31.95" customHeight="1" x14ac:dyDescent="0.3">
      <c r="B17" s="89" t="s">
        <v>7</v>
      </c>
      <c r="C17" s="304" t="s">
        <v>11</v>
      </c>
      <c r="D17" s="304"/>
      <c r="E17" s="304"/>
      <c r="F17" s="304"/>
      <c r="G17" s="304"/>
      <c r="H17" s="304"/>
      <c r="I17" s="304"/>
      <c r="J17" s="304"/>
      <c r="K17" s="304"/>
      <c r="O17" s="179"/>
      <c r="P17" s="179"/>
      <c r="Q17" s="179"/>
    </row>
    <row r="18" spans="1:17" ht="20.7" customHeight="1" x14ac:dyDescent="0.3">
      <c r="B18" s="89" t="s">
        <v>12</v>
      </c>
      <c r="C18" s="304" t="s">
        <v>13</v>
      </c>
      <c r="D18" s="304"/>
      <c r="E18" s="304"/>
      <c r="F18" s="304"/>
      <c r="G18" s="304"/>
      <c r="H18" s="304"/>
      <c r="I18" s="304"/>
      <c r="J18" s="304"/>
      <c r="K18" s="304"/>
      <c r="O18" s="179"/>
      <c r="P18" s="179"/>
      <c r="Q18" s="179"/>
    </row>
    <row r="19" spans="1:17" ht="93" customHeight="1" x14ac:dyDescent="0.3">
      <c r="B19" s="89" t="s">
        <v>14</v>
      </c>
      <c r="C19" s="304" t="s">
        <v>15</v>
      </c>
      <c r="D19" s="304"/>
      <c r="E19" s="304"/>
      <c r="F19" s="304"/>
      <c r="G19" s="304"/>
      <c r="H19" s="304"/>
      <c r="I19" s="304"/>
      <c r="J19" s="304"/>
      <c r="K19" s="304"/>
      <c r="L19" s="180"/>
      <c r="O19" s="179"/>
      <c r="P19" s="179"/>
      <c r="Q19" s="179"/>
    </row>
    <row r="20" spans="1:17" ht="17.399999999999999" customHeight="1" x14ac:dyDescent="0.3">
      <c r="B20" s="87" t="s">
        <v>16</v>
      </c>
      <c r="C20" s="304" t="s">
        <v>17</v>
      </c>
      <c r="D20" s="304"/>
      <c r="E20" s="304"/>
      <c r="F20" s="304"/>
      <c r="G20" s="304"/>
      <c r="H20" s="304"/>
      <c r="I20" s="304"/>
      <c r="J20" s="304"/>
      <c r="K20" s="304"/>
      <c r="O20" s="179"/>
      <c r="P20" s="179"/>
      <c r="Q20" s="179"/>
    </row>
    <row r="21" spans="1:17" ht="21.6" customHeight="1" x14ac:dyDescent="0.3">
      <c r="B21" s="87" t="s">
        <v>18</v>
      </c>
      <c r="C21" s="304" t="s">
        <v>19</v>
      </c>
      <c r="D21" s="304"/>
      <c r="E21" s="304"/>
      <c r="F21" s="304"/>
      <c r="G21" s="304"/>
      <c r="H21" s="304"/>
      <c r="I21" s="304"/>
      <c r="J21" s="304"/>
      <c r="K21" s="304"/>
      <c r="O21" s="179"/>
      <c r="P21" s="179"/>
      <c r="Q21" s="179"/>
    </row>
    <row r="22" spans="1:17" ht="19.95" customHeight="1" x14ac:dyDescent="0.3">
      <c r="B22" s="89" t="s">
        <v>20</v>
      </c>
      <c r="C22" s="304" t="s">
        <v>21</v>
      </c>
      <c r="D22" s="304"/>
      <c r="E22" s="304"/>
      <c r="F22" s="304"/>
      <c r="G22" s="304"/>
      <c r="H22" s="304"/>
      <c r="I22" s="304"/>
      <c r="J22" s="304"/>
      <c r="K22" s="304"/>
      <c r="O22" s="179"/>
      <c r="P22" s="179"/>
      <c r="Q22" s="179"/>
    </row>
    <row r="23" spans="1:17" ht="21.45" customHeight="1" x14ac:dyDescent="0.3">
      <c r="B23" s="89" t="s">
        <v>22</v>
      </c>
      <c r="C23" s="304" t="s">
        <v>370</v>
      </c>
      <c r="D23" s="304"/>
      <c r="E23" s="304"/>
      <c r="F23" s="304"/>
      <c r="G23" s="304"/>
      <c r="H23" s="304"/>
      <c r="I23" s="304"/>
      <c r="J23" s="304"/>
      <c r="K23" s="304"/>
      <c r="L23" s="180"/>
      <c r="O23" s="179"/>
      <c r="P23" s="179"/>
      <c r="Q23" s="179"/>
    </row>
    <row r="24" spans="1:17" ht="18.75" customHeight="1" x14ac:dyDescent="0.3">
      <c r="B24" s="305" t="s">
        <v>23</v>
      </c>
      <c r="C24" s="304" t="s">
        <v>24</v>
      </c>
      <c r="D24" s="304"/>
      <c r="E24" s="304"/>
      <c r="F24" s="304"/>
      <c r="G24" s="304"/>
      <c r="H24" s="304"/>
      <c r="I24" s="304"/>
      <c r="J24" s="304"/>
      <c r="K24" s="304"/>
      <c r="O24" s="179"/>
      <c r="P24" s="179"/>
      <c r="Q24" s="179"/>
    </row>
    <row r="25" spans="1:17" x14ac:dyDescent="0.3">
      <c r="B25" s="305"/>
      <c r="C25" s="304"/>
      <c r="D25" s="304"/>
      <c r="E25" s="304"/>
      <c r="F25" s="304"/>
      <c r="G25" s="304"/>
      <c r="H25" s="304"/>
      <c r="I25" s="304"/>
      <c r="J25" s="304"/>
      <c r="K25" s="304"/>
      <c r="O25" s="179"/>
      <c r="P25" s="179"/>
      <c r="Q25" s="179"/>
    </row>
    <row r="26" spans="1:17" x14ac:dyDescent="0.3">
      <c r="B26" s="305"/>
      <c r="C26" s="304"/>
      <c r="D26" s="304"/>
      <c r="E26" s="304"/>
      <c r="F26" s="304"/>
      <c r="G26" s="304"/>
      <c r="H26" s="304"/>
      <c r="I26" s="304"/>
      <c r="J26" s="304"/>
      <c r="K26" s="304"/>
      <c r="O26" s="179"/>
      <c r="P26" s="179"/>
      <c r="Q26" s="179"/>
    </row>
    <row r="27" spans="1:17" ht="16.8" x14ac:dyDescent="0.3">
      <c r="B27" s="89" t="s">
        <v>25</v>
      </c>
      <c r="C27" s="57" t="s">
        <v>26</v>
      </c>
      <c r="D27" s="57"/>
      <c r="E27" s="57"/>
      <c r="F27" s="57"/>
      <c r="G27" s="57"/>
      <c r="H27" s="57"/>
      <c r="I27" s="57"/>
      <c r="J27" s="57"/>
      <c r="O27" s="179"/>
      <c r="P27" s="179"/>
      <c r="Q27" s="179"/>
    </row>
    <row r="28" spans="1:17" x14ac:dyDescent="0.3">
      <c r="B28" s="89"/>
      <c r="C28" s="57"/>
      <c r="D28" s="57"/>
      <c r="E28" s="57"/>
      <c r="F28" s="57"/>
      <c r="G28" s="57"/>
      <c r="H28" s="57"/>
      <c r="I28" s="57"/>
      <c r="J28" s="57"/>
      <c r="O28" s="179"/>
      <c r="P28" s="179"/>
      <c r="Q28" s="179"/>
    </row>
    <row r="29" spans="1:17" ht="20.399999999999999" x14ac:dyDescent="0.3">
      <c r="C29" s="303" t="s">
        <v>411</v>
      </c>
      <c r="D29" s="303"/>
      <c r="E29" s="303"/>
      <c r="F29" s="303"/>
      <c r="G29" s="303"/>
      <c r="H29" s="303"/>
      <c r="I29" s="303"/>
      <c r="J29" s="303"/>
      <c r="K29" s="185"/>
      <c r="O29" s="179"/>
      <c r="P29" s="179"/>
      <c r="Q29" s="179"/>
    </row>
    <row r="30" spans="1:17" s="13" customFormat="1" ht="17.399999999999999" x14ac:dyDescent="0.3">
      <c r="B30" s="60"/>
      <c r="C30" s="164" t="s">
        <v>412</v>
      </c>
      <c r="D30" s="164" t="s">
        <v>102</v>
      </c>
      <c r="E30" s="164"/>
      <c r="F30" s="198"/>
      <c r="G30" s="198"/>
      <c r="H30" s="198"/>
      <c r="I30" s="198"/>
      <c r="J30" s="198"/>
      <c r="K30" s="199"/>
      <c r="O30" s="200"/>
      <c r="P30" s="200"/>
      <c r="Q30" s="200"/>
    </row>
    <row r="31" spans="1:17" ht="15" customHeight="1" x14ac:dyDescent="0.3">
      <c r="A31" s="181"/>
      <c r="C31" s="69" t="s">
        <v>27</v>
      </c>
      <c r="D31" s="182" t="s">
        <v>28</v>
      </c>
      <c r="E31" s="183"/>
      <c r="F31" s="183"/>
      <c r="G31" s="183"/>
      <c r="H31" s="183"/>
      <c r="I31" s="183"/>
      <c r="J31" s="183"/>
      <c r="O31" s="179"/>
      <c r="P31" s="179"/>
      <c r="Q31" s="179"/>
    </row>
    <row r="32" spans="1:17" ht="15" customHeight="1" x14ac:dyDescent="0.25">
      <c r="C32" s="69" t="s">
        <v>29</v>
      </c>
      <c r="D32" s="38" t="s">
        <v>30</v>
      </c>
      <c r="E32" s="183"/>
      <c r="F32" s="183"/>
      <c r="G32" s="183"/>
      <c r="H32" s="183"/>
      <c r="I32" s="183"/>
      <c r="J32" s="183"/>
      <c r="O32" s="179"/>
      <c r="P32" s="179"/>
      <c r="Q32" s="179"/>
    </row>
    <row r="33" spans="3:17" ht="15" customHeight="1" x14ac:dyDescent="0.3">
      <c r="C33" s="69" t="s">
        <v>31</v>
      </c>
      <c r="D33" s="182" t="s">
        <v>32</v>
      </c>
      <c r="E33" s="183"/>
      <c r="F33" s="183"/>
      <c r="G33" s="183"/>
      <c r="H33" s="183"/>
      <c r="I33" s="183"/>
      <c r="J33" s="183"/>
      <c r="N33" s="179"/>
      <c r="O33" s="179"/>
      <c r="P33" s="179"/>
      <c r="Q33" s="179"/>
    </row>
    <row r="34" spans="3:17" ht="15" customHeight="1" x14ac:dyDescent="0.3">
      <c r="C34" s="69" t="s">
        <v>33</v>
      </c>
      <c r="D34" s="182" t="s">
        <v>34</v>
      </c>
      <c r="E34" s="183"/>
      <c r="F34" s="183"/>
      <c r="G34" s="183"/>
      <c r="H34" s="183"/>
      <c r="I34" s="183"/>
      <c r="J34" s="183"/>
    </row>
    <row r="35" spans="3:17" ht="15" customHeight="1" x14ac:dyDescent="0.3">
      <c r="C35" s="69" t="s">
        <v>35</v>
      </c>
      <c r="D35" s="182" t="s">
        <v>36</v>
      </c>
      <c r="E35" s="183"/>
      <c r="F35" s="183"/>
      <c r="G35" s="183"/>
      <c r="H35" s="183"/>
      <c r="I35" s="183"/>
      <c r="J35" s="183"/>
    </row>
    <row r="36" spans="3:17" ht="15" customHeight="1" x14ac:dyDescent="0.3">
      <c r="C36" s="69" t="s">
        <v>37</v>
      </c>
      <c r="D36" s="182" t="s">
        <v>38</v>
      </c>
      <c r="E36" s="183"/>
      <c r="F36" s="183"/>
      <c r="G36" s="183"/>
      <c r="H36" s="183"/>
      <c r="I36" s="183"/>
      <c r="J36" s="183"/>
    </row>
    <row r="37" spans="3:17" ht="15" customHeight="1" x14ac:dyDescent="0.25">
      <c r="C37" s="69" t="s">
        <v>39</v>
      </c>
      <c r="D37" s="38" t="s">
        <v>371</v>
      </c>
      <c r="E37" s="27"/>
      <c r="F37" s="27"/>
      <c r="G37" s="27"/>
      <c r="H37" s="27"/>
      <c r="I37" s="27"/>
      <c r="J37" s="27"/>
      <c r="K37" s="13"/>
    </row>
    <row r="38" spans="3:17" ht="33.75" customHeight="1" x14ac:dyDescent="0.3">
      <c r="C38" s="145" t="s">
        <v>40</v>
      </c>
      <c r="D38" s="302" t="s">
        <v>372</v>
      </c>
      <c r="E38" s="302"/>
      <c r="F38" s="302"/>
      <c r="G38" s="302"/>
      <c r="H38" s="302"/>
      <c r="I38" s="302"/>
      <c r="J38" s="302"/>
      <c r="K38" s="302"/>
    </row>
    <row r="39" spans="3:17" ht="10.199999999999999" customHeight="1" x14ac:dyDescent="0.3">
      <c r="C39" s="57"/>
      <c r="D39" s="57"/>
      <c r="E39" s="57"/>
      <c r="F39" s="57"/>
      <c r="G39" s="57"/>
      <c r="H39" s="57"/>
      <c r="I39" s="57"/>
      <c r="J39" s="57"/>
      <c r="O39" s="179"/>
      <c r="P39" s="179"/>
      <c r="Q39" s="179"/>
    </row>
    <row r="40" spans="3:17" x14ac:dyDescent="0.3">
      <c r="C40" s="90"/>
      <c r="D40" s="90"/>
      <c r="E40" s="90"/>
      <c r="F40" s="90"/>
      <c r="G40" s="90"/>
      <c r="H40" s="90"/>
      <c r="I40" s="90"/>
      <c r="J40" s="90"/>
      <c r="K40" s="90"/>
    </row>
  </sheetData>
  <mergeCells count="18">
    <mergeCell ref="C24:K26"/>
    <mergeCell ref="C19:K19"/>
    <mergeCell ref="B2:K2"/>
    <mergeCell ref="D38:K38"/>
    <mergeCell ref="C29:J29"/>
    <mergeCell ref="C9:K11"/>
    <mergeCell ref="C14:K14"/>
    <mergeCell ref="C18:K18"/>
    <mergeCell ref="C22:K22"/>
    <mergeCell ref="C23:K23"/>
    <mergeCell ref="C20:K20"/>
    <mergeCell ref="C21:K21"/>
    <mergeCell ref="B24:B26"/>
    <mergeCell ref="C6:K6"/>
    <mergeCell ref="C16:K16"/>
    <mergeCell ref="C15:K15"/>
    <mergeCell ref="C17:K17"/>
    <mergeCell ref="C8:K8"/>
  </mergeCells>
  <phoneticPr fontId="17"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9"/>
  <sheetViews>
    <sheetView workbookViewId="0">
      <selection activeCell="D20" sqref="D20:E20"/>
    </sheetView>
  </sheetViews>
  <sheetFormatPr defaultColWidth="23.109375" defaultRowHeight="15.6" x14ac:dyDescent="0.3"/>
  <cols>
    <col min="1" max="1" width="9.109375" style="26" customWidth="1"/>
    <col min="2" max="2" width="31.33203125" style="8" customWidth="1"/>
    <col min="3" max="3" width="16.44140625" style="286" customWidth="1"/>
    <col min="4" max="4" width="14.44140625" style="286" customWidth="1"/>
    <col min="5" max="5" width="16.88671875" style="286" customWidth="1"/>
    <col min="6" max="6" width="12.44140625" style="286" customWidth="1"/>
    <col min="7" max="7" width="17.109375" style="286" customWidth="1"/>
    <col min="8" max="8" width="16.6640625" style="286" customWidth="1"/>
    <col min="9" max="9" width="4.44140625" style="13" customWidth="1"/>
    <col min="10" max="248" width="9.109375" style="26" customWidth="1"/>
    <col min="249" max="249" width="25" style="26" customWidth="1"/>
    <col min="250" max="16384" width="23.109375" style="26"/>
  </cols>
  <sheetData>
    <row r="2" spans="2:8" ht="22.2" customHeight="1" x14ac:dyDescent="0.3">
      <c r="B2" s="309" t="s">
        <v>477</v>
      </c>
      <c r="C2" s="309"/>
      <c r="D2" s="309"/>
      <c r="E2" s="309"/>
      <c r="F2" s="309"/>
      <c r="G2" s="309"/>
      <c r="H2" s="309"/>
    </row>
    <row r="3" spans="2:8" ht="50.4" customHeight="1" x14ac:dyDescent="0.3">
      <c r="B3" s="222" t="s">
        <v>478</v>
      </c>
      <c r="C3" s="261" t="s">
        <v>479</v>
      </c>
      <c r="D3" s="197" t="s">
        <v>212</v>
      </c>
      <c r="E3" s="262" t="s">
        <v>480</v>
      </c>
      <c r="F3" s="197" t="s">
        <v>215</v>
      </c>
      <c r="G3" s="197" t="s">
        <v>213</v>
      </c>
      <c r="H3" s="263" t="s">
        <v>214</v>
      </c>
    </row>
    <row r="4" spans="2:8" x14ac:dyDescent="0.3">
      <c r="B4" s="14" t="s">
        <v>216</v>
      </c>
      <c r="C4" s="268">
        <f>'App2. Mach Etc Req'!F4</f>
        <v>150000</v>
      </c>
      <c r="D4" s="269">
        <v>30</v>
      </c>
      <c r="E4" s="270">
        <v>0</v>
      </c>
      <c r="F4" s="19">
        <f>E4*C4</f>
        <v>0</v>
      </c>
      <c r="G4" s="271">
        <f t="shared" ref="G4:G19" si="0">(C4-F4)/D4</f>
        <v>5000</v>
      </c>
      <c r="H4" s="266">
        <f>G4/'App9. Data for tables'!$H$80</f>
        <v>16.666666666666668</v>
      </c>
    </row>
    <row r="5" spans="2:8" ht="17.399999999999999" x14ac:dyDescent="0.3">
      <c r="B5" s="14" t="s">
        <v>217</v>
      </c>
      <c r="C5" s="19">
        <f>'App2. Mach Etc Req'!F5</f>
        <v>150000</v>
      </c>
      <c r="D5" s="269">
        <v>30</v>
      </c>
      <c r="E5" s="270">
        <v>0</v>
      </c>
      <c r="F5" s="19">
        <f t="shared" ref="F5:F19" si="1">E5*C5</f>
        <v>0</v>
      </c>
      <c r="G5" s="271">
        <f t="shared" si="0"/>
        <v>5000</v>
      </c>
      <c r="H5" s="266">
        <f>G5/'App9. Data for tables'!$H$80</f>
        <v>16.666666666666668</v>
      </c>
    </row>
    <row r="6" spans="2:8" x14ac:dyDescent="0.3">
      <c r="B6" s="14" t="s">
        <v>108</v>
      </c>
      <c r="C6" s="19">
        <f>'App2. Mach Etc Req'!F6</f>
        <v>250000</v>
      </c>
      <c r="D6" s="269">
        <v>10</v>
      </c>
      <c r="E6" s="270">
        <v>0.1</v>
      </c>
      <c r="F6" s="19">
        <f t="shared" si="1"/>
        <v>25000</v>
      </c>
      <c r="G6" s="271">
        <f t="shared" si="0"/>
        <v>22500</v>
      </c>
      <c r="H6" s="266">
        <f>G6/'App9. Data for tables'!$H$80</f>
        <v>75</v>
      </c>
    </row>
    <row r="7" spans="2:8" x14ac:dyDescent="0.3">
      <c r="B7" s="14" t="s">
        <v>110</v>
      </c>
      <c r="C7" s="19">
        <f>'App2. Mach Etc Req'!F7</f>
        <v>55000</v>
      </c>
      <c r="D7" s="269">
        <v>10</v>
      </c>
      <c r="E7" s="270">
        <v>0.1</v>
      </c>
      <c r="F7" s="19">
        <f t="shared" si="1"/>
        <v>5500</v>
      </c>
      <c r="G7" s="271">
        <f t="shared" si="0"/>
        <v>4950</v>
      </c>
      <c r="H7" s="266">
        <f>G7/'App9. Data for tables'!$H$80</f>
        <v>16.5</v>
      </c>
    </row>
    <row r="8" spans="2:8" x14ac:dyDescent="0.3">
      <c r="B8" s="14" t="s">
        <v>218</v>
      </c>
      <c r="C8" s="19">
        <f>'App2. Mach Etc Req'!F8</f>
        <v>24000</v>
      </c>
      <c r="D8" s="269">
        <v>5</v>
      </c>
      <c r="E8" s="270">
        <v>0.1</v>
      </c>
      <c r="F8" s="19">
        <f t="shared" si="1"/>
        <v>2400</v>
      </c>
      <c r="G8" s="271">
        <f t="shared" si="0"/>
        <v>4320</v>
      </c>
      <c r="H8" s="266">
        <f>G8/'App9. Data for tables'!$H$80</f>
        <v>14.4</v>
      </c>
    </row>
    <row r="9" spans="2:8" x14ac:dyDescent="0.3">
      <c r="B9" s="14" t="s">
        <v>219</v>
      </c>
      <c r="C9" s="19">
        <f>'App2. Mach Etc Req'!F9</f>
        <v>150000</v>
      </c>
      <c r="D9" s="269">
        <v>10</v>
      </c>
      <c r="E9" s="270">
        <v>0.1</v>
      </c>
      <c r="F9" s="19">
        <f t="shared" si="1"/>
        <v>15000</v>
      </c>
      <c r="G9" s="271">
        <f t="shared" si="0"/>
        <v>13500</v>
      </c>
      <c r="H9" s="266">
        <f>G9/'App9. Data for tables'!$H$80</f>
        <v>45</v>
      </c>
    </row>
    <row r="10" spans="2:8" x14ac:dyDescent="0.3">
      <c r="B10" s="14" t="s">
        <v>220</v>
      </c>
      <c r="C10" s="19">
        <f>'App2. Mach Etc Req'!F10</f>
        <v>7000</v>
      </c>
      <c r="D10" s="269">
        <v>10</v>
      </c>
      <c r="E10" s="270">
        <v>0.1</v>
      </c>
      <c r="F10" s="19">
        <f t="shared" si="1"/>
        <v>700</v>
      </c>
      <c r="G10" s="271">
        <f t="shared" si="0"/>
        <v>630</v>
      </c>
      <c r="H10" s="266">
        <f>G10/'App9. Data for tables'!$H$80</f>
        <v>2.1</v>
      </c>
    </row>
    <row r="11" spans="2:8" x14ac:dyDescent="0.3">
      <c r="B11" s="14" t="s">
        <v>221</v>
      </c>
      <c r="C11" s="19">
        <f>'App2. Mach Etc Req'!F11</f>
        <v>7500</v>
      </c>
      <c r="D11" s="269">
        <v>10</v>
      </c>
      <c r="E11" s="270">
        <v>0.1</v>
      </c>
      <c r="F11" s="19">
        <f t="shared" si="1"/>
        <v>750</v>
      </c>
      <c r="G11" s="271">
        <f t="shared" si="0"/>
        <v>675</v>
      </c>
      <c r="H11" s="266">
        <f>G11/'App9. Data for tables'!$H$80</f>
        <v>2.25</v>
      </c>
    </row>
    <row r="12" spans="2:8" x14ac:dyDescent="0.3">
      <c r="B12" s="14" t="s">
        <v>222</v>
      </c>
      <c r="C12" s="19">
        <f>'App2. Mach Etc Req'!F12</f>
        <v>9000</v>
      </c>
      <c r="D12" s="269">
        <v>10</v>
      </c>
      <c r="E12" s="270">
        <v>0.1</v>
      </c>
      <c r="F12" s="19">
        <f t="shared" si="1"/>
        <v>900</v>
      </c>
      <c r="G12" s="271">
        <f t="shared" si="0"/>
        <v>810</v>
      </c>
      <c r="H12" s="266">
        <f>G12/'App9. Data for tables'!$H$80</f>
        <v>2.7</v>
      </c>
    </row>
    <row r="13" spans="2:8" x14ac:dyDescent="0.3">
      <c r="B13" s="14" t="s">
        <v>223</v>
      </c>
      <c r="C13" s="19">
        <f>'App2. Mach Etc Req'!F13</f>
        <v>60000</v>
      </c>
      <c r="D13" s="269">
        <v>10</v>
      </c>
      <c r="E13" s="270">
        <v>0.1</v>
      </c>
      <c r="F13" s="19">
        <f t="shared" si="1"/>
        <v>6000</v>
      </c>
      <c r="G13" s="271">
        <f t="shared" si="0"/>
        <v>5400</v>
      </c>
      <c r="H13" s="266">
        <f>G13/'App9. Data for tables'!$H$80</f>
        <v>18</v>
      </c>
    </row>
    <row r="14" spans="2:8" x14ac:dyDescent="0.3">
      <c r="B14" s="21" t="s">
        <v>224</v>
      </c>
      <c r="C14" s="19">
        <f>'App2. Mach Etc Req'!F14</f>
        <v>22500</v>
      </c>
      <c r="D14" s="269">
        <v>10</v>
      </c>
      <c r="E14" s="270">
        <v>0.1</v>
      </c>
      <c r="F14" s="19">
        <f t="shared" si="1"/>
        <v>2250</v>
      </c>
      <c r="G14" s="271">
        <f t="shared" si="0"/>
        <v>2025</v>
      </c>
      <c r="H14" s="266">
        <f>G14/'App9. Data for tables'!$H$80</f>
        <v>6.75</v>
      </c>
    </row>
    <row r="15" spans="2:8" x14ac:dyDescent="0.3">
      <c r="B15" s="21" t="s">
        <v>225</v>
      </c>
      <c r="C15" s="19">
        <f>'App2. Mach Etc Req'!F15</f>
        <v>45000</v>
      </c>
      <c r="D15" s="269">
        <v>10</v>
      </c>
      <c r="E15" s="270">
        <v>0.1</v>
      </c>
      <c r="F15" s="19">
        <f t="shared" si="1"/>
        <v>4500</v>
      </c>
      <c r="G15" s="271">
        <f t="shared" si="0"/>
        <v>4050</v>
      </c>
      <c r="H15" s="266">
        <f>G15/'App9. Data for tables'!$H$80</f>
        <v>13.5</v>
      </c>
    </row>
    <row r="16" spans="2:8" x14ac:dyDescent="0.3">
      <c r="B16" s="21" t="s">
        <v>226</v>
      </c>
      <c r="C16" s="19">
        <f>'App2. Mach Etc Req'!F16</f>
        <v>13000</v>
      </c>
      <c r="D16" s="269">
        <v>10</v>
      </c>
      <c r="E16" s="270">
        <v>0.1</v>
      </c>
      <c r="F16" s="19">
        <f t="shared" si="1"/>
        <v>1300</v>
      </c>
      <c r="G16" s="271">
        <f t="shared" si="0"/>
        <v>1170</v>
      </c>
      <c r="H16" s="266">
        <f>G16/'App9. Data for tables'!$H$80</f>
        <v>3.9</v>
      </c>
    </row>
    <row r="17" spans="2:9" x14ac:dyDescent="0.3">
      <c r="B17" s="21" t="s">
        <v>125</v>
      </c>
      <c r="C17" s="19">
        <f>'App2. Mach Etc Req'!F17</f>
        <v>180000</v>
      </c>
      <c r="D17" s="269">
        <v>10</v>
      </c>
      <c r="E17" s="270">
        <v>0.1</v>
      </c>
      <c r="F17" s="19">
        <f t="shared" si="1"/>
        <v>18000</v>
      </c>
      <c r="G17" s="271">
        <f t="shared" si="0"/>
        <v>16200</v>
      </c>
      <c r="H17" s="266">
        <f>G17/'App9. Data for tables'!$H$80</f>
        <v>54</v>
      </c>
    </row>
    <row r="18" spans="2:9" ht="17.399999999999999" x14ac:dyDescent="0.3">
      <c r="B18" s="21" t="s">
        <v>227</v>
      </c>
      <c r="C18" s="19">
        <f>'App2. Mach Etc Req'!F18</f>
        <v>50000</v>
      </c>
      <c r="D18" s="269">
        <v>10</v>
      </c>
      <c r="E18" s="270">
        <v>0.1</v>
      </c>
      <c r="F18" s="19">
        <f t="shared" si="1"/>
        <v>5000</v>
      </c>
      <c r="G18" s="271">
        <f t="shared" si="0"/>
        <v>4500</v>
      </c>
      <c r="H18" s="266">
        <f>G18/'App9. Data for tables'!$H$80</f>
        <v>15</v>
      </c>
    </row>
    <row r="19" spans="2:9" ht="17.399999999999999" x14ac:dyDescent="0.3">
      <c r="B19" s="21" t="s">
        <v>228</v>
      </c>
      <c r="C19" s="272">
        <f>'App2. Mach Etc Req'!F19</f>
        <v>15000</v>
      </c>
      <c r="D19" s="273">
        <v>10</v>
      </c>
      <c r="E19" s="270">
        <v>0.1</v>
      </c>
      <c r="F19" s="272">
        <f t="shared" si="1"/>
        <v>1500</v>
      </c>
      <c r="G19" s="274">
        <f t="shared" si="0"/>
        <v>1350</v>
      </c>
      <c r="H19" s="267">
        <f>G19/'App9. Data for tables'!$H$80</f>
        <v>4.5</v>
      </c>
    </row>
    <row r="20" spans="2:9" x14ac:dyDescent="0.3">
      <c r="B20" s="164" t="s">
        <v>229</v>
      </c>
      <c r="C20" s="275">
        <f>SUM(C4:C19)</f>
        <v>1188000</v>
      </c>
      <c r="D20" s="264" t="s">
        <v>481</v>
      </c>
      <c r="E20" s="265" t="s">
        <v>481</v>
      </c>
      <c r="F20" s="275">
        <f>SUM(F4:F19)</f>
        <v>88800</v>
      </c>
      <c r="G20" s="276">
        <f>SUM(G4:G19)</f>
        <v>92080</v>
      </c>
      <c r="H20" s="277">
        <f>G20/'App9. Data for tables'!$H$80</f>
        <v>306.93333333333334</v>
      </c>
    </row>
    <row r="21" spans="2:9" x14ac:dyDescent="0.3">
      <c r="B21" s="12" t="s">
        <v>128</v>
      </c>
      <c r="C21" s="278"/>
      <c r="D21" s="278"/>
      <c r="E21" s="279"/>
      <c r="F21" s="279"/>
      <c r="G21" s="280"/>
      <c r="H21" s="281"/>
    </row>
    <row r="22" spans="2:9" s="65" customFormat="1" x14ac:dyDescent="0.3">
      <c r="B22" s="40" t="s">
        <v>230</v>
      </c>
      <c r="C22" s="282"/>
      <c r="D22" s="282"/>
      <c r="E22" s="283"/>
      <c r="F22" s="283"/>
      <c r="G22" s="284"/>
      <c r="H22" s="285"/>
      <c r="I22" s="60"/>
    </row>
    <row r="23" spans="2:9" s="65" customFormat="1" ht="28.2" customHeight="1" x14ac:dyDescent="0.3">
      <c r="B23" s="307" t="s">
        <v>231</v>
      </c>
      <c r="C23" s="307"/>
      <c r="D23" s="307"/>
      <c r="E23" s="307"/>
      <c r="F23" s="307"/>
      <c r="G23" s="307"/>
      <c r="H23" s="307"/>
      <c r="I23" s="60"/>
    </row>
    <row r="24" spans="2:9" s="65" customFormat="1" x14ac:dyDescent="0.3">
      <c r="B24" s="40" t="s">
        <v>232</v>
      </c>
      <c r="C24" s="282"/>
      <c r="D24" s="282"/>
      <c r="E24" s="283"/>
      <c r="F24" s="283"/>
      <c r="G24" s="284"/>
      <c r="H24" s="285"/>
      <c r="I24" s="60"/>
    </row>
    <row r="25" spans="2:9" s="65" customFormat="1" x14ac:dyDescent="0.3">
      <c r="B25" s="40" t="s">
        <v>233</v>
      </c>
      <c r="C25" s="282"/>
      <c r="D25" s="282"/>
      <c r="E25" s="283"/>
      <c r="F25" s="283"/>
      <c r="G25" s="284"/>
      <c r="H25" s="285"/>
      <c r="I25" s="60"/>
    </row>
    <row r="26" spans="2:9" s="65" customFormat="1" x14ac:dyDescent="0.3">
      <c r="B26" s="64" t="s">
        <v>234</v>
      </c>
      <c r="C26" s="282"/>
      <c r="D26" s="282"/>
      <c r="E26" s="283"/>
      <c r="F26" s="283"/>
      <c r="G26" s="284"/>
      <c r="H26" s="285"/>
      <c r="I26" s="60"/>
    </row>
    <row r="27" spans="2:9" s="65" customFormat="1" ht="32.700000000000003" customHeight="1" x14ac:dyDescent="0.3">
      <c r="B27" s="307" t="s">
        <v>235</v>
      </c>
      <c r="C27" s="307"/>
      <c r="D27" s="307"/>
      <c r="E27" s="307"/>
      <c r="F27" s="307"/>
      <c r="G27" s="307"/>
      <c r="H27" s="307"/>
      <c r="I27" s="60"/>
    </row>
    <row r="28" spans="2:9" s="65" customFormat="1" x14ac:dyDescent="0.3">
      <c r="B28" s="40" t="s">
        <v>236</v>
      </c>
      <c r="C28" s="282"/>
      <c r="D28" s="282"/>
      <c r="E28" s="283"/>
      <c r="F28" s="283"/>
      <c r="G28" s="284"/>
      <c r="H28" s="285"/>
      <c r="I28" s="60"/>
    </row>
    <row r="29" spans="2:9" s="65" customFormat="1" x14ac:dyDescent="0.3">
      <c r="B29" s="64" t="s">
        <v>237</v>
      </c>
      <c r="C29" s="68"/>
      <c r="D29" s="68"/>
      <c r="E29" s="68"/>
      <c r="F29" s="68"/>
      <c r="G29" s="68"/>
      <c r="H29" s="68"/>
      <c r="I29" s="67"/>
    </row>
  </sheetData>
  <protectedRanges>
    <protectedRange sqref="D4:E19" name="Range"/>
  </protectedRanges>
  <mergeCells count="3">
    <mergeCell ref="B2:H2"/>
    <mergeCell ref="B27:H27"/>
    <mergeCell ref="B23:H23"/>
  </mergeCells>
  <pageMargins left="0.7" right="0.7" top="0.75" bottom="0.75" header="0.3" footer="0.3"/>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A3" sqref="A3:XFD3"/>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39" customHeight="1" x14ac:dyDescent="0.3">
      <c r="B2" s="317" t="s">
        <v>482</v>
      </c>
      <c r="C2" s="317"/>
      <c r="D2" s="6"/>
    </row>
    <row r="3" spans="2:4" s="6" customFormat="1" ht="21" customHeight="1" x14ac:dyDescent="0.25">
      <c r="B3" s="287" t="s">
        <v>483</v>
      </c>
      <c r="C3" s="288" t="s">
        <v>484</v>
      </c>
    </row>
    <row r="4" spans="2:4" x14ac:dyDescent="0.25">
      <c r="B4" s="6" t="s">
        <v>238</v>
      </c>
      <c r="C4" s="20">
        <f>'Cosmic Crisp-Angled V Budget'!H59</f>
        <v>68562.794876167696</v>
      </c>
      <c r="D4" s="6"/>
    </row>
    <row r="5" spans="2:4" ht="16.8" x14ac:dyDescent="0.25">
      <c r="B5" s="6" t="s">
        <v>239</v>
      </c>
      <c r="C5" s="25">
        <f>20-5</f>
        <v>15</v>
      </c>
      <c r="D5" s="165"/>
    </row>
    <row r="6" spans="2:4" x14ac:dyDescent="0.25">
      <c r="B6" s="6" t="s">
        <v>148</v>
      </c>
      <c r="C6" s="50">
        <f>'App9. Data for tables'!$H$74</f>
        <v>0.05</v>
      </c>
      <c r="D6" s="6"/>
    </row>
    <row r="7" spans="2:4" x14ac:dyDescent="0.25">
      <c r="B7" s="6"/>
      <c r="C7" s="166"/>
      <c r="D7" s="6"/>
    </row>
    <row r="8" spans="2:4" x14ac:dyDescent="0.25">
      <c r="B8" s="167" t="s">
        <v>240</v>
      </c>
      <c r="C8" s="168">
        <f>IF(C5=0," ",PMT(C6,C5,C4))</f>
        <v>-6605.4965032533746</v>
      </c>
      <c r="D8" s="6"/>
    </row>
    <row r="9" spans="2:4" x14ac:dyDescent="0.25">
      <c r="B9" s="7" t="s">
        <v>241</v>
      </c>
      <c r="C9" s="6"/>
      <c r="D9" s="6"/>
    </row>
  </sheetData>
  <protectedRanges>
    <protectedRange sqref="C5:C6" name="Range1"/>
  </protectedRanges>
  <mergeCells count="1">
    <mergeCell ref="B2:C2"/>
  </mergeCells>
  <phoneticPr fontId="17"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zoomScaleNormal="100" workbookViewId="0"/>
  </sheetViews>
  <sheetFormatPr defaultColWidth="8.6640625" defaultRowHeight="14.4" x14ac:dyDescent="0.3"/>
  <cols>
    <col min="1" max="1" width="22.6640625" style="100" customWidth="1"/>
    <col min="2" max="2" width="45.6640625" style="100" customWidth="1"/>
    <col min="3" max="3" width="11.6640625" style="115" customWidth="1"/>
    <col min="4" max="4" width="9.6640625" style="115" customWidth="1"/>
    <col min="5" max="6" width="10.33203125" style="115" customWidth="1"/>
    <col min="7" max="7" width="12.109375" style="115" customWidth="1"/>
    <col min="8" max="8" width="16.6640625" style="115" customWidth="1"/>
    <col min="9" max="9" width="66" style="100" customWidth="1"/>
    <col min="10" max="10" width="15.33203125" customWidth="1"/>
    <col min="11" max="11" width="16.44140625" style="100" customWidth="1"/>
    <col min="13" max="16384" width="8.6640625" style="100"/>
  </cols>
  <sheetData>
    <row r="1" spans="1:11" ht="20.399999999999999" x14ac:dyDescent="0.3">
      <c r="A1" s="169" t="s">
        <v>485</v>
      </c>
      <c r="B1" s="169"/>
      <c r="C1" s="170"/>
      <c r="D1" s="170"/>
      <c r="E1" s="170"/>
      <c r="F1" s="170"/>
      <c r="G1" s="170"/>
      <c r="H1" s="170"/>
      <c r="I1" s="98"/>
      <c r="K1" s="99"/>
    </row>
    <row r="2" spans="1:11" ht="27.6" x14ac:dyDescent="0.3">
      <c r="A2" s="113" t="s">
        <v>409</v>
      </c>
      <c r="B2" s="171" t="s">
        <v>102</v>
      </c>
      <c r="C2" s="172" t="s">
        <v>162</v>
      </c>
      <c r="D2" s="172" t="s">
        <v>42</v>
      </c>
      <c r="E2" s="172" t="s">
        <v>43</v>
      </c>
      <c r="F2" s="172" t="s">
        <v>44</v>
      </c>
      <c r="G2" s="172" t="s">
        <v>45</v>
      </c>
      <c r="H2" s="173" t="s">
        <v>242</v>
      </c>
      <c r="I2" s="101" t="s">
        <v>243</v>
      </c>
      <c r="K2" s="102"/>
    </row>
    <row r="3" spans="1:11" x14ac:dyDescent="0.3">
      <c r="A3" s="103" t="s">
        <v>244</v>
      </c>
      <c r="B3" s="104" t="s">
        <v>245</v>
      </c>
      <c r="C3" s="289">
        <v>0</v>
      </c>
      <c r="D3" s="289">
        <v>0</v>
      </c>
      <c r="E3" s="289">
        <v>0</v>
      </c>
      <c r="F3" s="106">
        <v>35</v>
      </c>
      <c r="G3" s="106">
        <f>$F$3</f>
        <v>35</v>
      </c>
      <c r="H3" s="106">
        <f>$F$3</f>
        <v>35</v>
      </c>
      <c r="I3" s="107" t="s">
        <v>246</v>
      </c>
      <c r="K3" s="102"/>
    </row>
    <row r="4" spans="1:11" ht="18" customHeight="1" x14ac:dyDescent="0.3">
      <c r="A4" s="108" t="s">
        <v>244</v>
      </c>
      <c r="B4" s="104" t="s">
        <v>247</v>
      </c>
      <c r="C4" s="289">
        <v>0</v>
      </c>
      <c r="D4" s="289">
        <v>0</v>
      </c>
      <c r="E4" s="289">
        <v>0</v>
      </c>
      <c r="F4" s="106">
        <f>+F3*F64</f>
        <v>647.5</v>
      </c>
      <c r="G4" s="106">
        <f>+G3*G64</f>
        <v>647.5</v>
      </c>
      <c r="H4" s="106">
        <f>+H3*H64</f>
        <v>647.5</v>
      </c>
      <c r="I4" s="109"/>
    </row>
    <row r="5" spans="1:11" ht="18" customHeight="1" x14ac:dyDescent="0.3">
      <c r="A5" s="108" t="s">
        <v>248</v>
      </c>
      <c r="B5" s="110" t="s">
        <v>249</v>
      </c>
      <c r="C5" s="289">
        <v>0</v>
      </c>
      <c r="D5" s="289">
        <v>0</v>
      </c>
      <c r="E5" s="289">
        <v>0</v>
      </c>
      <c r="F5" s="111">
        <v>56041.25</v>
      </c>
      <c r="G5" s="111">
        <v>72853.75</v>
      </c>
      <c r="H5" s="111">
        <v>89666.25</v>
      </c>
      <c r="I5" s="109" t="s">
        <v>250</v>
      </c>
    </row>
    <row r="6" spans="1:11" ht="18" customHeight="1" x14ac:dyDescent="0.3">
      <c r="A6" s="108" t="s">
        <v>248</v>
      </c>
      <c r="B6" s="101" t="s">
        <v>251</v>
      </c>
      <c r="C6" s="289">
        <v>0</v>
      </c>
      <c r="D6" s="289">
        <v>0</v>
      </c>
      <c r="E6" s="289">
        <v>0</v>
      </c>
      <c r="F6" s="111">
        <f t="shared" ref="F6:H6" si="0">F5/2000</f>
        <v>28.020624999999999</v>
      </c>
      <c r="G6" s="111">
        <f t="shared" si="0"/>
        <v>36.426875000000003</v>
      </c>
      <c r="H6" s="111">
        <f t="shared" si="0"/>
        <v>44.833125000000003</v>
      </c>
      <c r="I6" s="109" t="s">
        <v>252</v>
      </c>
      <c r="K6" s="102"/>
    </row>
    <row r="7" spans="1:11" ht="18" customHeight="1" x14ac:dyDescent="0.3">
      <c r="A7" s="117" t="s">
        <v>248</v>
      </c>
      <c r="B7" s="118" t="s">
        <v>253</v>
      </c>
      <c r="C7" s="289">
        <v>0</v>
      </c>
      <c r="D7" s="289">
        <v>0</v>
      </c>
      <c r="E7" s="289">
        <v>0</v>
      </c>
      <c r="F7" s="105">
        <f>ROUND((F$5/F$63),0)</f>
        <v>61</v>
      </c>
      <c r="G7" s="105">
        <f>ROUND((G$5/G$63),0)</f>
        <v>79</v>
      </c>
      <c r="H7" s="105">
        <f>ROUND((H$5/H$63),0)</f>
        <v>97</v>
      </c>
      <c r="I7" s="112" t="s">
        <v>254</v>
      </c>
    </row>
    <row r="8" spans="1:11" ht="27.6" x14ac:dyDescent="0.3">
      <c r="A8" s="113" t="s">
        <v>141</v>
      </c>
      <c r="B8" s="171" t="s">
        <v>255</v>
      </c>
      <c r="C8" s="124">
        <v>20000</v>
      </c>
      <c r="D8" s="291">
        <v>0</v>
      </c>
      <c r="E8" s="291">
        <v>0</v>
      </c>
      <c r="F8" s="291">
        <v>0</v>
      </c>
      <c r="G8" s="291">
        <v>0</v>
      </c>
      <c r="H8" s="291">
        <v>0</v>
      </c>
      <c r="I8" s="174" t="s">
        <v>256</v>
      </c>
    </row>
    <row r="9" spans="1:11" x14ac:dyDescent="0.3">
      <c r="A9" s="114" t="s">
        <v>257</v>
      </c>
      <c r="B9" s="101" t="s">
        <v>258</v>
      </c>
      <c r="C9" s="106">
        <v>12</v>
      </c>
      <c r="D9" s="289">
        <v>0</v>
      </c>
      <c r="E9" s="289">
        <v>0</v>
      </c>
      <c r="F9" s="289">
        <v>0</v>
      </c>
      <c r="G9" s="289">
        <v>0</v>
      </c>
      <c r="H9" s="289">
        <v>0</v>
      </c>
      <c r="I9" s="101"/>
    </row>
    <row r="10" spans="1:11" x14ac:dyDescent="0.3">
      <c r="A10" s="114" t="s">
        <v>257</v>
      </c>
      <c r="B10" s="101" t="s">
        <v>259</v>
      </c>
      <c r="C10" s="106">
        <v>1000</v>
      </c>
      <c r="D10" s="289">
        <v>0</v>
      </c>
      <c r="E10" s="289">
        <v>0</v>
      </c>
      <c r="F10" s="289">
        <v>0</v>
      </c>
      <c r="G10" s="289">
        <v>0</v>
      </c>
      <c r="H10" s="289">
        <v>0</v>
      </c>
      <c r="I10" s="101"/>
    </row>
    <row r="11" spans="1:11" x14ac:dyDescent="0.3">
      <c r="A11" s="114" t="s">
        <v>257</v>
      </c>
      <c r="B11" s="101" t="s">
        <v>260</v>
      </c>
      <c r="C11" s="106">
        <v>180</v>
      </c>
      <c r="D11" s="289">
        <v>0</v>
      </c>
      <c r="E11" s="289">
        <v>0</v>
      </c>
      <c r="F11" s="289">
        <v>0</v>
      </c>
      <c r="G11" s="289">
        <v>0</v>
      </c>
      <c r="H11" s="289">
        <v>0</v>
      </c>
      <c r="I11" s="101"/>
    </row>
    <row r="12" spans="1:11" ht="18.75" customHeight="1" x14ac:dyDescent="0.3">
      <c r="A12" s="114" t="s">
        <v>257</v>
      </c>
      <c r="B12" s="101" t="s">
        <v>261</v>
      </c>
      <c r="C12" s="106">
        <v>300</v>
      </c>
      <c r="D12" s="289">
        <v>0</v>
      </c>
      <c r="E12" s="289">
        <v>0</v>
      </c>
      <c r="F12" s="289">
        <v>0</v>
      </c>
      <c r="G12" s="289">
        <v>0</v>
      </c>
      <c r="H12" s="289">
        <v>0</v>
      </c>
      <c r="I12" s="101" t="s">
        <v>262</v>
      </c>
    </row>
    <row r="13" spans="1:11" ht="18.75" customHeight="1" x14ac:dyDescent="0.3">
      <c r="A13" s="114" t="s">
        <v>257</v>
      </c>
      <c r="B13" s="101" t="s">
        <v>263</v>
      </c>
      <c r="C13" s="116">
        <v>1</v>
      </c>
      <c r="D13" s="289">
        <v>0</v>
      </c>
      <c r="E13" s="289">
        <v>0</v>
      </c>
      <c r="F13" s="289">
        <v>0</v>
      </c>
      <c r="G13" s="289">
        <v>0</v>
      </c>
      <c r="H13" s="289">
        <v>0</v>
      </c>
      <c r="I13" s="101"/>
    </row>
    <row r="14" spans="1:11" ht="18.75" customHeight="1" x14ac:dyDescent="0.3">
      <c r="A14" s="114" t="s">
        <v>257</v>
      </c>
      <c r="B14" s="101" t="s">
        <v>264</v>
      </c>
      <c r="C14" s="106">
        <f>$C$83</f>
        <v>27.79</v>
      </c>
      <c r="D14" s="289">
        <v>0</v>
      </c>
      <c r="E14" s="289">
        <v>0</v>
      </c>
      <c r="F14" s="289">
        <v>0</v>
      </c>
      <c r="G14" s="289">
        <v>0</v>
      </c>
      <c r="H14" s="289">
        <v>0</v>
      </c>
      <c r="I14" s="101"/>
    </row>
    <row r="15" spans="1:11" ht="18.75" customHeight="1" x14ac:dyDescent="0.3">
      <c r="A15" s="117" t="s">
        <v>257</v>
      </c>
      <c r="B15" s="118" t="s">
        <v>265</v>
      </c>
      <c r="C15" s="119">
        <v>1750</v>
      </c>
      <c r="D15" s="290">
        <v>0</v>
      </c>
      <c r="E15" s="290">
        <v>0</v>
      </c>
      <c r="F15" s="290">
        <v>0</v>
      </c>
      <c r="G15" s="290">
        <v>0</v>
      </c>
      <c r="H15" s="290">
        <v>0</v>
      </c>
      <c r="I15" s="118" t="s">
        <v>266</v>
      </c>
    </row>
    <row r="16" spans="1:11" x14ac:dyDescent="0.3">
      <c r="A16" s="114" t="s">
        <v>267</v>
      </c>
      <c r="B16" s="101" t="s">
        <v>268</v>
      </c>
      <c r="C16" s="111">
        <f>$C$79</f>
        <v>1815</v>
      </c>
      <c r="D16" s="292">
        <v>0</v>
      </c>
      <c r="E16" s="292">
        <v>0</v>
      </c>
      <c r="F16" s="292">
        <v>0</v>
      </c>
      <c r="G16" s="292">
        <v>0</v>
      </c>
      <c r="H16" s="292">
        <v>0</v>
      </c>
      <c r="I16" s="101"/>
    </row>
    <row r="17" spans="1:11" ht="27.6" x14ac:dyDescent="0.3">
      <c r="A17" s="114" t="s">
        <v>267</v>
      </c>
      <c r="B17" s="101" t="s">
        <v>269</v>
      </c>
      <c r="C17" s="106">
        <f>10.51+1</f>
        <v>11.51</v>
      </c>
      <c r="D17" s="289">
        <v>0</v>
      </c>
      <c r="E17" s="289">
        <v>0</v>
      </c>
      <c r="F17" s="289">
        <v>0</v>
      </c>
      <c r="G17" s="289">
        <v>0</v>
      </c>
      <c r="H17" s="289">
        <v>0</v>
      </c>
      <c r="I17" s="121" t="s">
        <v>270</v>
      </c>
    </row>
    <row r="18" spans="1:11" x14ac:dyDescent="0.3">
      <c r="A18" s="114" t="s">
        <v>267</v>
      </c>
      <c r="B18" s="101" t="s">
        <v>271</v>
      </c>
      <c r="C18" s="116">
        <v>0.02</v>
      </c>
      <c r="D18" s="289">
        <v>0</v>
      </c>
      <c r="E18" s="289">
        <v>0</v>
      </c>
      <c r="F18" s="289">
        <v>0</v>
      </c>
      <c r="G18" s="289">
        <v>0</v>
      </c>
      <c r="H18" s="289">
        <v>0</v>
      </c>
      <c r="I18" s="101"/>
    </row>
    <row r="19" spans="1:11" x14ac:dyDescent="0.3">
      <c r="A19" s="117" t="s">
        <v>267</v>
      </c>
      <c r="B19" s="118" t="s">
        <v>272</v>
      </c>
      <c r="C19" s="119">
        <f>$C$81</f>
        <v>23.75</v>
      </c>
      <c r="D19" s="290">
        <v>0</v>
      </c>
      <c r="E19" s="290">
        <v>0</v>
      </c>
      <c r="F19" s="290">
        <v>0</v>
      </c>
      <c r="G19" s="290">
        <v>0</v>
      </c>
      <c r="H19" s="290">
        <v>0</v>
      </c>
      <c r="I19" s="118"/>
    </row>
    <row r="20" spans="1:11" x14ac:dyDescent="0.3">
      <c r="A20" s="122" t="s">
        <v>70</v>
      </c>
      <c r="B20" s="123" t="s">
        <v>273</v>
      </c>
      <c r="C20" s="124">
        <v>13000</v>
      </c>
      <c r="D20" s="290">
        <v>0</v>
      </c>
      <c r="E20" s="290">
        <v>0</v>
      </c>
      <c r="F20" s="290">
        <v>0</v>
      </c>
      <c r="G20" s="290">
        <v>0</v>
      </c>
      <c r="H20" s="290">
        <v>0</v>
      </c>
      <c r="I20" s="125"/>
      <c r="K20" s="102"/>
    </row>
    <row r="21" spans="1:11" x14ac:dyDescent="0.3">
      <c r="A21" s="122" t="s">
        <v>274</v>
      </c>
      <c r="B21" s="101" t="s">
        <v>275</v>
      </c>
      <c r="C21" s="289">
        <v>0</v>
      </c>
      <c r="D21" s="289">
        <v>0</v>
      </c>
      <c r="E21" s="289">
        <v>0</v>
      </c>
      <c r="F21" s="106">
        <v>10000</v>
      </c>
      <c r="G21" s="292">
        <v>0</v>
      </c>
      <c r="H21" s="292">
        <v>0</v>
      </c>
      <c r="I21" s="318"/>
      <c r="K21" s="102"/>
    </row>
    <row r="22" spans="1:11" x14ac:dyDescent="0.3">
      <c r="A22" s="117" t="s">
        <v>274</v>
      </c>
      <c r="B22" s="101" t="s">
        <v>276</v>
      </c>
      <c r="C22" s="289">
        <v>0</v>
      </c>
      <c r="D22" s="290">
        <v>0</v>
      </c>
      <c r="E22" s="290">
        <v>0</v>
      </c>
      <c r="F22" s="119">
        <v>150</v>
      </c>
      <c r="G22" s="119">
        <v>150</v>
      </c>
      <c r="H22" s="119">
        <v>150</v>
      </c>
      <c r="I22" s="319"/>
      <c r="K22" s="102"/>
    </row>
    <row r="23" spans="1:11" x14ac:dyDescent="0.3">
      <c r="A23" s="122" t="s">
        <v>277</v>
      </c>
      <c r="B23" s="128" t="s">
        <v>278</v>
      </c>
      <c r="C23" s="129">
        <v>3800</v>
      </c>
      <c r="D23" s="289">
        <v>0</v>
      </c>
      <c r="E23" s="289">
        <v>0</v>
      </c>
      <c r="F23" s="289">
        <v>0</v>
      </c>
      <c r="G23" s="289">
        <v>0</v>
      </c>
      <c r="H23" s="289">
        <v>0</v>
      </c>
      <c r="I23" s="130" t="s">
        <v>279</v>
      </c>
      <c r="K23" s="130"/>
    </row>
    <row r="24" spans="1:11" x14ac:dyDescent="0.3">
      <c r="A24" s="117" t="s">
        <v>277</v>
      </c>
      <c r="B24" s="118" t="s">
        <v>280</v>
      </c>
      <c r="C24" s="119">
        <v>1000</v>
      </c>
      <c r="D24" s="290">
        <v>0</v>
      </c>
      <c r="E24" s="290">
        <v>0</v>
      </c>
      <c r="F24" s="290">
        <v>0</v>
      </c>
      <c r="G24" s="290">
        <v>0</v>
      </c>
      <c r="H24" s="290">
        <v>0</v>
      </c>
      <c r="I24" s="131"/>
      <c r="K24" s="130"/>
    </row>
    <row r="25" spans="1:11" x14ac:dyDescent="0.3">
      <c r="A25" s="101" t="s">
        <v>68</v>
      </c>
      <c r="B25" s="132" t="s">
        <v>281</v>
      </c>
      <c r="C25" s="106">
        <v>600</v>
      </c>
      <c r="D25" s="289">
        <v>0</v>
      </c>
      <c r="E25" s="289">
        <v>0</v>
      </c>
      <c r="F25" s="289">
        <v>0</v>
      </c>
      <c r="G25" s="289">
        <v>0</v>
      </c>
      <c r="H25" s="289">
        <v>0</v>
      </c>
      <c r="I25" s="130"/>
      <c r="K25" s="102"/>
    </row>
    <row r="26" spans="1:11" x14ac:dyDescent="0.3">
      <c r="A26" s="118" t="s">
        <v>68</v>
      </c>
      <c r="B26" s="135" t="s">
        <v>282</v>
      </c>
      <c r="C26" s="119">
        <v>300</v>
      </c>
      <c r="D26" s="289">
        <v>0</v>
      </c>
      <c r="E26" s="289">
        <v>0</v>
      </c>
      <c r="F26" s="289">
        <v>0</v>
      </c>
      <c r="G26" s="289">
        <v>0</v>
      </c>
      <c r="H26" s="289">
        <v>0</v>
      </c>
      <c r="I26" s="131"/>
      <c r="K26" s="102"/>
    </row>
    <row r="27" spans="1:11" ht="19.95" customHeight="1" x14ac:dyDescent="0.3">
      <c r="A27" s="171" t="s">
        <v>69</v>
      </c>
      <c r="B27" s="123" t="s">
        <v>283</v>
      </c>
      <c r="C27" s="124">
        <v>3000</v>
      </c>
      <c r="D27" s="290">
        <v>0</v>
      </c>
      <c r="E27" s="290">
        <v>0</v>
      </c>
      <c r="F27" s="290">
        <v>0</v>
      </c>
      <c r="G27" s="290">
        <v>0</v>
      </c>
      <c r="H27" s="290">
        <v>0</v>
      </c>
      <c r="I27" s="125" t="s">
        <v>284</v>
      </c>
      <c r="K27" s="130"/>
    </row>
    <row r="28" spans="1:11" x14ac:dyDescent="0.3">
      <c r="A28" s="122" t="s">
        <v>285</v>
      </c>
      <c r="B28" s="132" t="s">
        <v>286</v>
      </c>
      <c r="C28" s="133">
        <v>20</v>
      </c>
      <c r="D28" s="133">
        <v>11</v>
      </c>
      <c r="E28" s="133">
        <v>12</v>
      </c>
      <c r="F28" s="133">
        <v>15</v>
      </c>
      <c r="G28" s="133">
        <v>33</v>
      </c>
      <c r="H28" s="133">
        <v>50</v>
      </c>
      <c r="I28" s="101"/>
      <c r="K28" s="134"/>
    </row>
    <row r="29" spans="1:11" x14ac:dyDescent="0.3">
      <c r="A29" s="114" t="s">
        <v>285</v>
      </c>
      <c r="B29" s="135" t="s">
        <v>272</v>
      </c>
      <c r="C29" s="119">
        <f>C$81</f>
        <v>23.75</v>
      </c>
      <c r="D29" s="119">
        <f t="shared" ref="D29:H33" si="1">D$81</f>
        <v>23.75</v>
      </c>
      <c r="E29" s="119">
        <f t="shared" si="1"/>
        <v>23.75</v>
      </c>
      <c r="F29" s="119">
        <f t="shared" si="1"/>
        <v>23.75</v>
      </c>
      <c r="G29" s="119">
        <f t="shared" si="1"/>
        <v>23.75</v>
      </c>
      <c r="H29" s="119">
        <f t="shared" si="1"/>
        <v>23.75</v>
      </c>
      <c r="I29" s="131"/>
      <c r="K29" s="134"/>
    </row>
    <row r="30" spans="1:11" x14ac:dyDescent="0.3">
      <c r="A30" s="114" t="s">
        <v>285</v>
      </c>
      <c r="B30" s="101" t="s">
        <v>287</v>
      </c>
      <c r="C30" s="105">
        <v>53</v>
      </c>
      <c r="D30" s="105">
        <v>55</v>
      </c>
      <c r="E30" s="105">
        <v>42</v>
      </c>
      <c r="F30" s="105">
        <v>14</v>
      </c>
      <c r="G30" s="105">
        <v>10</v>
      </c>
      <c r="H30" s="105">
        <v>5</v>
      </c>
      <c r="I30" s="101" t="s">
        <v>288</v>
      </c>
      <c r="K30" s="134"/>
    </row>
    <row r="31" spans="1:11" x14ac:dyDescent="0.3">
      <c r="A31" s="117" t="s">
        <v>285</v>
      </c>
      <c r="B31" s="118" t="s">
        <v>272</v>
      </c>
      <c r="C31" s="119">
        <f>C$81</f>
        <v>23.75</v>
      </c>
      <c r="D31" s="119">
        <f t="shared" si="1"/>
        <v>23.75</v>
      </c>
      <c r="E31" s="119">
        <f t="shared" si="1"/>
        <v>23.75</v>
      </c>
      <c r="F31" s="119">
        <f t="shared" si="1"/>
        <v>23.75</v>
      </c>
      <c r="G31" s="119">
        <f t="shared" si="1"/>
        <v>23.75</v>
      </c>
      <c r="H31" s="119">
        <f t="shared" si="1"/>
        <v>23.75</v>
      </c>
      <c r="I31" s="131"/>
      <c r="K31" s="134"/>
    </row>
    <row r="32" spans="1:11" x14ac:dyDescent="0.3">
      <c r="A32" s="114" t="s">
        <v>289</v>
      </c>
      <c r="B32" s="101" t="s">
        <v>290</v>
      </c>
      <c r="C32" s="105">
        <v>0</v>
      </c>
      <c r="D32" s="105">
        <v>0</v>
      </c>
      <c r="E32" s="105">
        <v>0</v>
      </c>
      <c r="F32" s="105">
        <v>0</v>
      </c>
      <c r="G32" s="105">
        <v>0</v>
      </c>
      <c r="H32" s="105">
        <v>0</v>
      </c>
      <c r="I32" s="121" t="s">
        <v>291</v>
      </c>
    </row>
    <row r="33" spans="1:11" x14ac:dyDescent="0.3">
      <c r="A33" s="114" t="s">
        <v>289</v>
      </c>
      <c r="B33" s="101" t="s">
        <v>272</v>
      </c>
      <c r="C33" s="106">
        <f>C$81</f>
        <v>23.75</v>
      </c>
      <c r="D33" s="106">
        <f t="shared" si="1"/>
        <v>23.75</v>
      </c>
      <c r="E33" s="106">
        <f t="shared" si="1"/>
        <v>23.75</v>
      </c>
      <c r="F33" s="106">
        <f t="shared" si="1"/>
        <v>23.75</v>
      </c>
      <c r="G33" s="106">
        <f t="shared" si="1"/>
        <v>23.75</v>
      </c>
      <c r="H33" s="106">
        <f t="shared" si="1"/>
        <v>23.75</v>
      </c>
      <c r="I33" s="130"/>
      <c r="K33" s="102"/>
    </row>
    <row r="34" spans="1:11" x14ac:dyDescent="0.3">
      <c r="A34" s="114" t="s">
        <v>289</v>
      </c>
      <c r="B34" s="101" t="s">
        <v>292</v>
      </c>
      <c r="C34" s="116">
        <v>0</v>
      </c>
      <c r="D34" s="116">
        <v>0</v>
      </c>
      <c r="E34" s="116">
        <v>0</v>
      </c>
      <c r="F34" s="116">
        <v>0</v>
      </c>
      <c r="G34" s="116">
        <v>0</v>
      </c>
      <c r="H34" s="116">
        <v>0</v>
      </c>
      <c r="I34" s="130" t="s">
        <v>293</v>
      </c>
      <c r="J34" s="116"/>
      <c r="K34" s="102"/>
    </row>
    <row r="35" spans="1:11" x14ac:dyDescent="0.3">
      <c r="A35" s="117" t="s">
        <v>289</v>
      </c>
      <c r="B35" s="101" t="s">
        <v>272</v>
      </c>
      <c r="C35" s="119">
        <f>C$83</f>
        <v>27.79</v>
      </c>
      <c r="D35" s="119">
        <f t="shared" ref="D35:H35" si="2">D$83</f>
        <v>27.79</v>
      </c>
      <c r="E35" s="119">
        <f t="shared" si="2"/>
        <v>27.79</v>
      </c>
      <c r="F35" s="119">
        <f t="shared" si="2"/>
        <v>27.79</v>
      </c>
      <c r="G35" s="119">
        <f t="shared" si="2"/>
        <v>27.79</v>
      </c>
      <c r="H35" s="119">
        <f t="shared" si="2"/>
        <v>27.79</v>
      </c>
      <c r="I35" s="131"/>
      <c r="K35" s="102"/>
    </row>
    <row r="36" spans="1:11" ht="36" customHeight="1" x14ac:dyDescent="0.3">
      <c r="A36" s="122" t="s">
        <v>294</v>
      </c>
      <c r="B36" s="128" t="s">
        <v>295</v>
      </c>
      <c r="C36" s="106">
        <v>160</v>
      </c>
      <c r="D36" s="106">
        <v>380</v>
      </c>
      <c r="E36" s="106">
        <v>1415</v>
      </c>
      <c r="F36" s="106">
        <v>1565</v>
      </c>
      <c r="G36" s="106">
        <v>1565</v>
      </c>
      <c r="H36" s="106">
        <v>1565</v>
      </c>
      <c r="I36" s="126" t="s">
        <v>296</v>
      </c>
      <c r="K36" s="134"/>
    </row>
    <row r="37" spans="1:11" x14ac:dyDescent="0.3">
      <c r="A37" s="114" t="s">
        <v>294</v>
      </c>
      <c r="B37" s="101" t="s">
        <v>297</v>
      </c>
      <c r="C37" s="116">
        <v>2</v>
      </c>
      <c r="D37" s="116">
        <v>4</v>
      </c>
      <c r="E37" s="116">
        <v>8</v>
      </c>
      <c r="F37" s="116">
        <v>8</v>
      </c>
      <c r="G37" s="116">
        <v>8</v>
      </c>
      <c r="H37" s="116">
        <v>8</v>
      </c>
      <c r="I37" s="109"/>
      <c r="K37" s="134"/>
    </row>
    <row r="38" spans="1:11" x14ac:dyDescent="0.3">
      <c r="A38" s="117" t="s">
        <v>294</v>
      </c>
      <c r="B38" s="118" t="s">
        <v>272</v>
      </c>
      <c r="C38" s="119">
        <f>C$83</f>
        <v>27.79</v>
      </c>
      <c r="D38" s="119">
        <f t="shared" ref="D38:G38" si="3">D$83</f>
        <v>27.79</v>
      </c>
      <c r="E38" s="119">
        <f t="shared" si="3"/>
        <v>27.79</v>
      </c>
      <c r="F38" s="119">
        <f t="shared" si="3"/>
        <v>27.79</v>
      </c>
      <c r="G38" s="119">
        <f t="shared" si="3"/>
        <v>27.79</v>
      </c>
      <c r="H38" s="119">
        <f>H$83</f>
        <v>27.79</v>
      </c>
      <c r="I38" s="127"/>
      <c r="K38" s="134"/>
    </row>
    <row r="39" spans="1:11" ht="18" customHeight="1" x14ac:dyDescent="0.3">
      <c r="A39" s="114" t="s">
        <v>298</v>
      </c>
      <c r="B39" s="101" t="s">
        <v>299</v>
      </c>
      <c r="C39" s="106">
        <v>100</v>
      </c>
      <c r="D39" s="106">
        <v>100</v>
      </c>
      <c r="E39" s="106">
        <v>220</v>
      </c>
      <c r="F39" s="106">
        <v>220</v>
      </c>
      <c r="G39" s="106">
        <v>295</v>
      </c>
      <c r="H39" s="106">
        <v>370</v>
      </c>
      <c r="I39" s="109" t="s">
        <v>300</v>
      </c>
      <c r="K39" s="134"/>
    </row>
    <row r="40" spans="1:11" ht="30.6" customHeight="1" x14ac:dyDescent="0.3">
      <c r="A40" s="114" t="s">
        <v>298</v>
      </c>
      <c r="B40" s="101" t="s">
        <v>301</v>
      </c>
      <c r="C40" s="105">
        <v>0</v>
      </c>
      <c r="D40" s="105">
        <v>1</v>
      </c>
      <c r="E40" s="105">
        <v>1</v>
      </c>
      <c r="F40" s="105">
        <v>1</v>
      </c>
      <c r="G40" s="105">
        <v>1</v>
      </c>
      <c r="H40" s="105">
        <v>1</v>
      </c>
      <c r="I40" s="121" t="s">
        <v>302</v>
      </c>
      <c r="K40" s="134"/>
    </row>
    <row r="41" spans="1:11" ht="18" customHeight="1" x14ac:dyDescent="0.3">
      <c r="A41" s="117" t="s">
        <v>298</v>
      </c>
      <c r="B41" s="118" t="s">
        <v>272</v>
      </c>
      <c r="C41" s="119">
        <f>C$82</f>
        <v>24.75</v>
      </c>
      <c r="D41" s="119">
        <f t="shared" ref="D41:H41" si="4">D$82</f>
        <v>24.75</v>
      </c>
      <c r="E41" s="119">
        <f t="shared" si="4"/>
        <v>24.75</v>
      </c>
      <c r="F41" s="119">
        <f t="shared" si="4"/>
        <v>24.75</v>
      </c>
      <c r="G41" s="119">
        <f t="shared" si="4"/>
        <v>24.75</v>
      </c>
      <c r="H41" s="119">
        <f t="shared" si="4"/>
        <v>24.75</v>
      </c>
      <c r="I41" s="131"/>
      <c r="K41" s="102"/>
    </row>
    <row r="42" spans="1:11" ht="18.75" customHeight="1" x14ac:dyDescent="0.3">
      <c r="A42" s="114" t="s">
        <v>303</v>
      </c>
      <c r="B42" s="101" t="s">
        <v>304</v>
      </c>
      <c r="C42" s="106">
        <v>170</v>
      </c>
      <c r="D42" s="106">
        <v>170</v>
      </c>
      <c r="E42" s="106">
        <v>170</v>
      </c>
      <c r="F42" s="106">
        <v>170</v>
      </c>
      <c r="G42" s="106">
        <v>170</v>
      </c>
      <c r="H42" s="106">
        <v>170</v>
      </c>
      <c r="I42" s="130"/>
      <c r="K42" s="102"/>
    </row>
    <row r="43" spans="1:11" ht="18.75" customHeight="1" x14ac:dyDescent="0.3">
      <c r="A43" s="114" t="s">
        <v>303</v>
      </c>
      <c r="B43" s="101" t="s">
        <v>305</v>
      </c>
      <c r="C43" s="106">
        <v>180</v>
      </c>
      <c r="D43" s="106">
        <v>180</v>
      </c>
      <c r="E43" s="106">
        <v>180</v>
      </c>
      <c r="F43" s="106">
        <v>195</v>
      </c>
      <c r="G43" s="106">
        <v>195</v>
      </c>
      <c r="H43" s="106">
        <v>195</v>
      </c>
      <c r="I43" s="130"/>
      <c r="K43" s="102"/>
    </row>
    <row r="44" spans="1:11" ht="18.75" customHeight="1" x14ac:dyDescent="0.3">
      <c r="A44" s="114" t="s">
        <v>306</v>
      </c>
      <c r="B44" s="101" t="s">
        <v>307</v>
      </c>
      <c r="C44" s="105">
        <v>13</v>
      </c>
      <c r="D44" s="105">
        <v>13</v>
      </c>
      <c r="E44" s="105">
        <v>13</v>
      </c>
      <c r="F44" s="105">
        <v>13</v>
      </c>
      <c r="G44" s="105">
        <v>13</v>
      </c>
      <c r="H44" s="105">
        <v>13</v>
      </c>
      <c r="I44" s="101"/>
    </row>
    <row r="45" spans="1:11" ht="18.75" customHeight="1" x14ac:dyDescent="0.3">
      <c r="A45" s="117" t="s">
        <v>303</v>
      </c>
      <c r="B45" s="118" t="s">
        <v>272</v>
      </c>
      <c r="C45" s="119">
        <f>C$83</f>
        <v>27.79</v>
      </c>
      <c r="D45" s="119">
        <f t="shared" ref="D45:H45" si="5">D$83</f>
        <v>27.79</v>
      </c>
      <c r="E45" s="119">
        <f t="shared" si="5"/>
        <v>27.79</v>
      </c>
      <c r="F45" s="119">
        <f t="shared" si="5"/>
        <v>27.79</v>
      </c>
      <c r="G45" s="119">
        <f t="shared" si="5"/>
        <v>27.79</v>
      </c>
      <c r="H45" s="119">
        <f t="shared" si="5"/>
        <v>27.79</v>
      </c>
      <c r="I45" s="131"/>
      <c r="K45" s="102"/>
    </row>
    <row r="46" spans="1:11" x14ac:dyDescent="0.3">
      <c r="A46" s="114" t="s">
        <v>308</v>
      </c>
      <c r="B46" s="101" t="s">
        <v>309</v>
      </c>
      <c r="C46" s="289">
        <v>0</v>
      </c>
      <c r="D46" s="289">
        <v>0</v>
      </c>
      <c r="E46" s="106">
        <v>65</v>
      </c>
      <c r="F46" s="106">
        <v>65</v>
      </c>
      <c r="G46" s="106">
        <v>65</v>
      </c>
      <c r="H46" s="106">
        <v>65</v>
      </c>
      <c r="I46" s="130"/>
      <c r="K46" s="102"/>
    </row>
    <row r="47" spans="1:11" x14ac:dyDescent="0.3">
      <c r="A47" s="117" t="s">
        <v>308</v>
      </c>
      <c r="B47" s="118" t="s">
        <v>310</v>
      </c>
      <c r="C47" s="290">
        <v>0</v>
      </c>
      <c r="D47" s="290">
        <v>0</v>
      </c>
      <c r="E47" s="120">
        <v>1</v>
      </c>
      <c r="F47" s="120">
        <v>1</v>
      </c>
      <c r="G47" s="120">
        <v>1</v>
      </c>
      <c r="H47" s="120">
        <v>1</v>
      </c>
      <c r="I47" s="118"/>
    </row>
    <row r="48" spans="1:11" ht="27.6" x14ac:dyDescent="0.3">
      <c r="A48" s="114" t="s">
        <v>311</v>
      </c>
      <c r="B48" s="121" t="s">
        <v>312</v>
      </c>
      <c r="C48" s="106">
        <v>4000</v>
      </c>
      <c r="D48" s="289">
        <v>0</v>
      </c>
      <c r="E48" s="289">
        <v>0</v>
      </c>
      <c r="F48" s="289">
        <v>0</v>
      </c>
      <c r="G48" s="289">
        <v>0</v>
      </c>
      <c r="H48" s="289">
        <v>0</v>
      </c>
      <c r="I48" s="121" t="s">
        <v>313</v>
      </c>
    </row>
    <row r="49" spans="1:11" x14ac:dyDescent="0.3">
      <c r="A49" s="114" t="s">
        <v>311</v>
      </c>
      <c r="B49" s="101" t="s">
        <v>314</v>
      </c>
      <c r="C49" s="136">
        <v>0.64</v>
      </c>
      <c r="D49" s="289">
        <v>0</v>
      </c>
      <c r="E49" s="289">
        <v>0</v>
      </c>
      <c r="F49" s="289">
        <v>0</v>
      </c>
      <c r="G49" s="289">
        <v>0</v>
      </c>
      <c r="H49" s="289">
        <v>0</v>
      </c>
      <c r="I49" s="137"/>
    </row>
    <row r="50" spans="1:11" x14ac:dyDescent="0.3">
      <c r="A50" s="114" t="s">
        <v>311</v>
      </c>
      <c r="B50" s="135" t="s">
        <v>272</v>
      </c>
      <c r="C50" s="119">
        <f>C$82</f>
        <v>24.75</v>
      </c>
      <c r="D50" s="290">
        <v>0</v>
      </c>
      <c r="E50" s="290">
        <v>0</v>
      </c>
      <c r="F50" s="290">
        <v>0</v>
      </c>
      <c r="G50" s="290">
        <v>0</v>
      </c>
      <c r="H50" s="290">
        <v>0</v>
      </c>
      <c r="I50" s="138"/>
      <c r="K50" s="102"/>
    </row>
    <row r="51" spans="1:11" ht="55.2" x14ac:dyDescent="0.3">
      <c r="A51" s="114" t="s">
        <v>311</v>
      </c>
      <c r="B51" s="101" t="s">
        <v>315</v>
      </c>
      <c r="C51" s="105">
        <v>0.4</v>
      </c>
      <c r="D51" s="105">
        <v>0.4</v>
      </c>
      <c r="E51" s="105">
        <v>0.4</v>
      </c>
      <c r="F51" s="105">
        <f>E51</f>
        <v>0.4</v>
      </c>
      <c r="G51" s="105">
        <f>F51</f>
        <v>0.4</v>
      </c>
      <c r="H51" s="105">
        <f>G51</f>
        <v>0.4</v>
      </c>
      <c r="I51" s="121" t="s">
        <v>316</v>
      </c>
    </row>
    <row r="52" spans="1:11" x14ac:dyDescent="0.3">
      <c r="A52" s="117" t="s">
        <v>311</v>
      </c>
      <c r="B52" s="118" t="s">
        <v>272</v>
      </c>
      <c r="C52" s="119">
        <f t="shared" ref="C52:D52" si="6">C$82</f>
        <v>24.75</v>
      </c>
      <c r="D52" s="119">
        <f t="shared" si="6"/>
        <v>24.75</v>
      </c>
      <c r="E52" s="119">
        <f>E$82</f>
        <v>24.75</v>
      </c>
      <c r="F52" s="119">
        <f t="shared" ref="F52:H52" si="7">F$82</f>
        <v>24.75</v>
      </c>
      <c r="G52" s="119">
        <f t="shared" si="7"/>
        <v>24.75</v>
      </c>
      <c r="H52" s="119">
        <f t="shared" si="7"/>
        <v>24.75</v>
      </c>
      <c r="I52" s="131"/>
      <c r="K52" s="102"/>
    </row>
    <row r="53" spans="1:11" ht="18.75" customHeight="1" x14ac:dyDescent="0.3">
      <c r="A53" s="114" t="s">
        <v>317</v>
      </c>
      <c r="B53" s="101" t="s">
        <v>318</v>
      </c>
      <c r="C53" s="106"/>
      <c r="D53" s="106"/>
      <c r="E53" s="106"/>
      <c r="F53" s="106">
        <v>20</v>
      </c>
      <c r="G53" s="106">
        <f>F53</f>
        <v>20</v>
      </c>
      <c r="H53" s="106">
        <f>G53</f>
        <v>20</v>
      </c>
      <c r="I53" s="130" t="s">
        <v>319</v>
      </c>
      <c r="K53" s="139"/>
    </row>
    <row r="54" spans="1:11" ht="18.75" customHeight="1" x14ac:dyDescent="0.3">
      <c r="A54" s="114" t="s">
        <v>317</v>
      </c>
      <c r="B54" s="101" t="s">
        <v>320</v>
      </c>
      <c r="C54" s="106">
        <v>30</v>
      </c>
      <c r="D54" s="106">
        <f>C54</f>
        <v>30</v>
      </c>
      <c r="E54" s="106">
        <f t="shared" ref="E54:H54" si="8">D54</f>
        <v>30</v>
      </c>
      <c r="F54" s="106">
        <f t="shared" si="8"/>
        <v>30</v>
      </c>
      <c r="G54" s="106">
        <f t="shared" si="8"/>
        <v>30</v>
      </c>
      <c r="H54" s="106">
        <f t="shared" si="8"/>
        <v>30</v>
      </c>
      <c r="I54" s="130"/>
      <c r="K54" s="139"/>
    </row>
    <row r="55" spans="1:11" ht="18.75" customHeight="1" x14ac:dyDescent="0.3">
      <c r="A55" s="114" t="s">
        <v>317</v>
      </c>
      <c r="B55" s="101" t="s">
        <v>321</v>
      </c>
      <c r="C55" s="106">
        <v>30</v>
      </c>
      <c r="D55" s="106">
        <f>C55</f>
        <v>30</v>
      </c>
      <c r="E55" s="106">
        <f t="shared" ref="E55:H55" si="9">D55</f>
        <v>30</v>
      </c>
      <c r="F55" s="106">
        <f t="shared" si="9"/>
        <v>30</v>
      </c>
      <c r="G55" s="106">
        <f t="shared" si="9"/>
        <v>30</v>
      </c>
      <c r="H55" s="106">
        <f t="shared" si="9"/>
        <v>30</v>
      </c>
      <c r="I55" s="130"/>
      <c r="K55" s="139"/>
    </row>
    <row r="56" spans="1:11" ht="18.75" customHeight="1" x14ac:dyDescent="0.3">
      <c r="A56" s="114" t="s">
        <v>317</v>
      </c>
      <c r="B56" s="101" t="s">
        <v>322</v>
      </c>
      <c r="C56" s="106"/>
      <c r="D56" s="106"/>
      <c r="E56" s="100"/>
      <c r="F56" s="106">
        <v>45</v>
      </c>
      <c r="G56" s="106">
        <f>F56</f>
        <v>45</v>
      </c>
      <c r="H56" s="106">
        <f>G56</f>
        <v>45</v>
      </c>
      <c r="I56" s="130"/>
      <c r="K56" s="139"/>
    </row>
    <row r="57" spans="1:11" ht="18.75" customHeight="1" x14ac:dyDescent="0.3">
      <c r="A57" s="114" t="s">
        <v>317</v>
      </c>
      <c r="B57" s="101" t="s">
        <v>323</v>
      </c>
      <c r="C57" s="106">
        <v>300</v>
      </c>
      <c r="D57" s="106">
        <f>C57</f>
        <v>300</v>
      </c>
      <c r="E57" s="106">
        <f t="shared" ref="E57:H57" si="10">D57</f>
        <v>300</v>
      </c>
      <c r="F57" s="106">
        <f t="shared" si="10"/>
        <v>300</v>
      </c>
      <c r="G57" s="106">
        <f t="shared" si="10"/>
        <v>300</v>
      </c>
      <c r="H57" s="106">
        <f t="shared" si="10"/>
        <v>300</v>
      </c>
      <c r="I57" s="130"/>
      <c r="K57" s="102"/>
    </row>
    <row r="58" spans="1:11" ht="40.5" customHeight="1" x14ac:dyDescent="0.3">
      <c r="A58" s="117" t="s">
        <v>317</v>
      </c>
      <c r="B58" s="112" t="s">
        <v>324</v>
      </c>
      <c r="C58" s="119">
        <v>270</v>
      </c>
      <c r="D58" s="119">
        <f>C58</f>
        <v>270</v>
      </c>
      <c r="E58" s="119">
        <f t="shared" ref="E58:H58" si="11">D58</f>
        <v>270</v>
      </c>
      <c r="F58" s="119">
        <f t="shared" si="11"/>
        <v>270</v>
      </c>
      <c r="G58" s="119">
        <f t="shared" si="11"/>
        <v>270</v>
      </c>
      <c r="H58" s="119">
        <f t="shared" si="11"/>
        <v>270</v>
      </c>
      <c r="I58" s="131"/>
      <c r="K58" s="102"/>
    </row>
    <row r="59" spans="1:11" x14ac:dyDescent="0.3">
      <c r="A59" s="114" t="s">
        <v>325</v>
      </c>
      <c r="B59" s="101" t="s">
        <v>326</v>
      </c>
      <c r="C59" s="292">
        <v>0</v>
      </c>
      <c r="D59" s="292">
        <v>0</v>
      </c>
      <c r="E59" s="106">
        <v>43</v>
      </c>
      <c r="F59" s="106">
        <f>$E$59</f>
        <v>43</v>
      </c>
      <c r="G59" s="106">
        <f t="shared" ref="G59:H59" si="12">$E$59</f>
        <v>43</v>
      </c>
      <c r="H59" s="106">
        <f t="shared" si="12"/>
        <v>43</v>
      </c>
      <c r="I59" s="109" t="s">
        <v>327</v>
      </c>
      <c r="K59" s="102"/>
    </row>
    <row r="60" spans="1:11" ht="27.6" x14ac:dyDescent="0.3">
      <c r="A60" s="114" t="s">
        <v>325</v>
      </c>
      <c r="B60" s="121" t="s">
        <v>328</v>
      </c>
      <c r="C60" s="289">
        <v>0</v>
      </c>
      <c r="D60" s="289">
        <v>0</v>
      </c>
      <c r="E60" s="106">
        <v>11</v>
      </c>
      <c r="F60" s="106">
        <v>11</v>
      </c>
      <c r="G60" s="106">
        <v>11</v>
      </c>
      <c r="H60" s="106">
        <v>11</v>
      </c>
      <c r="I60" s="130"/>
      <c r="K60" s="139"/>
    </row>
    <row r="61" spans="1:11" x14ac:dyDescent="0.3">
      <c r="A61" s="117" t="s">
        <v>325</v>
      </c>
      <c r="B61" s="118" t="s">
        <v>329</v>
      </c>
      <c r="C61" s="290">
        <v>0</v>
      </c>
      <c r="D61" s="290">
        <v>0</v>
      </c>
      <c r="E61" s="119">
        <v>11</v>
      </c>
      <c r="F61" s="119">
        <f>$E$61</f>
        <v>11</v>
      </c>
      <c r="G61" s="119">
        <f t="shared" ref="G61:H61" si="13">$E$61</f>
        <v>11</v>
      </c>
      <c r="H61" s="119">
        <f t="shared" si="13"/>
        <v>11</v>
      </c>
      <c r="I61" s="127" t="s">
        <v>330</v>
      </c>
      <c r="K61" s="139"/>
    </row>
    <row r="62" spans="1:11" ht="33.6" customHeight="1" x14ac:dyDescent="0.3">
      <c r="A62" s="114" t="s">
        <v>331</v>
      </c>
      <c r="B62" s="101" t="s">
        <v>332</v>
      </c>
      <c r="C62" s="292">
        <v>0</v>
      </c>
      <c r="D62" s="292">
        <v>0</v>
      </c>
      <c r="E62" s="292">
        <v>0</v>
      </c>
      <c r="F62" s="140">
        <v>0.8</v>
      </c>
      <c r="G62" s="140">
        <f>$F$62</f>
        <v>0.8</v>
      </c>
      <c r="H62" s="140">
        <f>$G$62</f>
        <v>0.8</v>
      </c>
      <c r="I62" s="126"/>
      <c r="K62" s="139"/>
    </row>
    <row r="63" spans="1:11" ht="18.75" customHeight="1" x14ac:dyDescent="0.3">
      <c r="A63" s="114" t="s">
        <v>331</v>
      </c>
      <c r="B63" s="101" t="s">
        <v>333</v>
      </c>
      <c r="C63" s="289">
        <v>0</v>
      </c>
      <c r="D63" s="289">
        <v>0</v>
      </c>
      <c r="E63" s="289">
        <v>0</v>
      </c>
      <c r="F63" s="105">
        <v>925</v>
      </c>
      <c r="G63" s="105">
        <f>$F$63</f>
        <v>925</v>
      </c>
      <c r="H63" s="105">
        <f>$G$63</f>
        <v>925</v>
      </c>
      <c r="I63" s="109"/>
      <c r="K63" s="139"/>
    </row>
    <row r="64" spans="1:11" ht="18.75" customHeight="1" x14ac:dyDescent="0.3">
      <c r="A64" s="114" t="s">
        <v>331</v>
      </c>
      <c r="B64" s="104" t="s">
        <v>334</v>
      </c>
      <c r="C64" s="289">
        <v>0</v>
      </c>
      <c r="D64" s="289">
        <v>0</v>
      </c>
      <c r="E64" s="289">
        <v>0</v>
      </c>
      <c r="F64" s="144">
        <f>(F63/40)*F62</f>
        <v>18.5</v>
      </c>
      <c r="G64" s="144">
        <f t="shared" ref="G64:H64" si="14">(G63/40)*G62</f>
        <v>18.5</v>
      </c>
      <c r="H64" s="144">
        <f t="shared" si="14"/>
        <v>18.5</v>
      </c>
      <c r="I64" s="109"/>
      <c r="K64" s="139"/>
    </row>
    <row r="65" spans="1:11" ht="18.75" customHeight="1" x14ac:dyDescent="0.3">
      <c r="A65" s="114" t="s">
        <v>331</v>
      </c>
      <c r="B65" s="101" t="s">
        <v>335</v>
      </c>
      <c r="C65" s="289">
        <v>0</v>
      </c>
      <c r="D65" s="289">
        <v>0</v>
      </c>
      <c r="E65" s="289">
        <v>0</v>
      </c>
      <c r="F65" s="106">
        <v>110</v>
      </c>
      <c r="G65" s="106">
        <f>$F$65</f>
        <v>110</v>
      </c>
      <c r="H65" s="106">
        <f>$F$65</f>
        <v>110</v>
      </c>
      <c r="I65" s="130"/>
      <c r="K65" s="139"/>
    </row>
    <row r="66" spans="1:11" ht="20.7" customHeight="1" x14ac:dyDescent="0.3">
      <c r="A66" s="114" t="s">
        <v>331</v>
      </c>
      <c r="B66" s="101" t="s">
        <v>336</v>
      </c>
      <c r="C66" s="289">
        <v>0</v>
      </c>
      <c r="D66" s="289">
        <v>0</v>
      </c>
      <c r="E66" s="289">
        <v>0</v>
      </c>
      <c r="F66" s="106">
        <v>9</v>
      </c>
      <c r="G66" s="106">
        <f>$F$66</f>
        <v>9</v>
      </c>
      <c r="H66" s="106">
        <f>$F$66</f>
        <v>9</v>
      </c>
      <c r="I66" s="109" t="s">
        <v>337</v>
      </c>
      <c r="K66" s="139"/>
    </row>
    <row r="67" spans="1:11" ht="37.5" customHeight="1" x14ac:dyDescent="0.3">
      <c r="A67" s="117" t="s">
        <v>331</v>
      </c>
      <c r="B67" s="118" t="s">
        <v>338</v>
      </c>
      <c r="C67" s="290">
        <v>0</v>
      </c>
      <c r="D67" s="290">
        <v>0</v>
      </c>
      <c r="E67" s="290">
        <v>0</v>
      </c>
      <c r="F67" s="119">
        <f t="shared" ref="F67:H67" si="15">F65+(F66*F64)</f>
        <v>276.5</v>
      </c>
      <c r="G67" s="119">
        <f t="shared" si="15"/>
        <v>276.5</v>
      </c>
      <c r="H67" s="119">
        <f t="shared" si="15"/>
        <v>276.5</v>
      </c>
      <c r="I67" s="127" t="s">
        <v>339</v>
      </c>
      <c r="K67" s="139"/>
    </row>
    <row r="68" spans="1:11" ht="27.6" x14ac:dyDescent="0.3">
      <c r="A68" s="114" t="s">
        <v>340</v>
      </c>
      <c r="B68" s="101" t="s">
        <v>341</v>
      </c>
      <c r="C68" s="106">
        <v>300</v>
      </c>
      <c r="D68" s="106">
        <f>C68</f>
        <v>300</v>
      </c>
      <c r="E68" s="106">
        <f t="shared" ref="E68:H68" si="16">D68</f>
        <v>300</v>
      </c>
      <c r="F68" s="106">
        <f t="shared" si="16"/>
        <v>300</v>
      </c>
      <c r="G68" s="106">
        <f t="shared" si="16"/>
        <v>300</v>
      </c>
      <c r="H68" s="106">
        <f t="shared" si="16"/>
        <v>300</v>
      </c>
      <c r="I68" s="109" t="s">
        <v>342</v>
      </c>
      <c r="K68" s="102"/>
    </row>
    <row r="69" spans="1:11" ht="18.75" customHeight="1" x14ac:dyDescent="0.3">
      <c r="A69" s="114" t="s">
        <v>340</v>
      </c>
      <c r="B69" s="101" t="s">
        <v>343</v>
      </c>
      <c r="C69" s="106">
        <v>190</v>
      </c>
      <c r="D69" s="106">
        <f t="shared" ref="D69:H72" si="17">C69</f>
        <v>190</v>
      </c>
      <c r="E69" s="106">
        <f t="shared" si="17"/>
        <v>190</v>
      </c>
      <c r="F69" s="106">
        <f t="shared" si="17"/>
        <v>190</v>
      </c>
      <c r="G69" s="106">
        <f t="shared" si="17"/>
        <v>190</v>
      </c>
      <c r="H69" s="106">
        <f t="shared" si="17"/>
        <v>190</v>
      </c>
      <c r="I69" s="130"/>
      <c r="K69" s="102"/>
    </row>
    <row r="70" spans="1:11" ht="18.75" customHeight="1" x14ac:dyDescent="0.3">
      <c r="A70" s="114" t="s">
        <v>340</v>
      </c>
      <c r="B70" s="101" t="s">
        <v>60</v>
      </c>
      <c r="C70" s="106">
        <v>200</v>
      </c>
      <c r="D70" s="106">
        <f t="shared" si="17"/>
        <v>200</v>
      </c>
      <c r="E70" s="106">
        <f t="shared" si="17"/>
        <v>200</v>
      </c>
      <c r="F70" s="106">
        <f t="shared" si="17"/>
        <v>200</v>
      </c>
      <c r="G70" s="106">
        <f t="shared" si="17"/>
        <v>200</v>
      </c>
      <c r="H70" s="106">
        <f t="shared" si="17"/>
        <v>200</v>
      </c>
      <c r="I70" s="130"/>
      <c r="K70" s="102"/>
    </row>
    <row r="71" spans="1:11" ht="23.25" customHeight="1" x14ac:dyDescent="0.3">
      <c r="A71" s="114" t="s">
        <v>340</v>
      </c>
      <c r="B71" s="101" t="s">
        <v>344</v>
      </c>
      <c r="C71" s="106">
        <v>600</v>
      </c>
      <c r="D71" s="106">
        <f t="shared" si="17"/>
        <v>600</v>
      </c>
      <c r="E71" s="106">
        <f t="shared" si="17"/>
        <v>600</v>
      </c>
      <c r="F71" s="106">
        <f t="shared" si="17"/>
        <v>600</v>
      </c>
      <c r="G71" s="106">
        <f t="shared" si="17"/>
        <v>600</v>
      </c>
      <c r="H71" s="106">
        <f t="shared" si="17"/>
        <v>600</v>
      </c>
      <c r="I71" s="109"/>
      <c r="K71" s="102"/>
    </row>
    <row r="72" spans="1:11" ht="18.75" customHeight="1" x14ac:dyDescent="0.3">
      <c r="A72" s="114" t="s">
        <v>340</v>
      </c>
      <c r="B72" s="101" t="s">
        <v>345</v>
      </c>
      <c r="C72" s="106">
        <v>750</v>
      </c>
      <c r="D72" s="106">
        <f t="shared" si="17"/>
        <v>750</v>
      </c>
      <c r="E72" s="106">
        <f t="shared" si="17"/>
        <v>750</v>
      </c>
      <c r="F72" s="106">
        <f t="shared" si="17"/>
        <v>750</v>
      </c>
      <c r="G72" s="106">
        <f t="shared" si="17"/>
        <v>750</v>
      </c>
      <c r="H72" s="106">
        <f t="shared" si="17"/>
        <v>750</v>
      </c>
      <c r="I72" s="130"/>
      <c r="K72" s="139"/>
    </row>
    <row r="73" spans="1:11" ht="18.75" customHeight="1" x14ac:dyDescent="0.3">
      <c r="A73" s="114" t="s">
        <v>340</v>
      </c>
      <c r="B73" s="101" t="s">
        <v>346</v>
      </c>
      <c r="C73" s="34">
        <v>0.05</v>
      </c>
      <c r="D73" s="34">
        <v>0.05</v>
      </c>
      <c r="E73" s="34">
        <v>0.05</v>
      </c>
      <c r="F73" s="34">
        <v>0.05</v>
      </c>
      <c r="G73" s="34">
        <v>0.05</v>
      </c>
      <c r="H73" s="34">
        <v>0.05</v>
      </c>
      <c r="I73" s="63"/>
      <c r="K73" s="33"/>
    </row>
    <row r="74" spans="1:11" ht="18.75" customHeight="1" x14ac:dyDescent="0.3">
      <c r="A74" s="114" t="s">
        <v>340</v>
      </c>
      <c r="B74" s="101" t="s">
        <v>347</v>
      </c>
      <c r="C74" s="34">
        <v>0.05</v>
      </c>
      <c r="D74" s="34">
        <v>0.05</v>
      </c>
      <c r="E74" s="34">
        <v>0.05</v>
      </c>
      <c r="F74" s="34">
        <v>0.05</v>
      </c>
      <c r="G74" s="34">
        <v>0.05</v>
      </c>
      <c r="H74" s="34">
        <v>0.05</v>
      </c>
      <c r="I74" s="63"/>
      <c r="K74" s="33"/>
    </row>
    <row r="75" spans="1:11" ht="18.75" customHeight="1" x14ac:dyDescent="0.3">
      <c r="A75" s="114" t="s">
        <v>340</v>
      </c>
      <c r="B75" s="101" t="s">
        <v>348</v>
      </c>
      <c r="C75" s="34">
        <v>0.05</v>
      </c>
      <c r="D75" s="34">
        <v>0.05</v>
      </c>
      <c r="E75" s="34">
        <v>0.05</v>
      </c>
      <c r="F75" s="34">
        <v>0.05</v>
      </c>
      <c r="G75" s="34">
        <v>0.05</v>
      </c>
      <c r="H75" s="34">
        <v>0</v>
      </c>
      <c r="I75" s="63"/>
      <c r="K75" s="33"/>
    </row>
    <row r="76" spans="1:11" ht="18.75" customHeight="1" x14ac:dyDescent="0.3">
      <c r="A76" s="114" t="s">
        <v>340</v>
      </c>
      <c r="B76" s="101" t="s">
        <v>349</v>
      </c>
      <c r="C76" s="105">
        <v>1</v>
      </c>
      <c r="D76" s="105">
        <v>1</v>
      </c>
      <c r="E76" s="105">
        <v>1</v>
      </c>
      <c r="F76" s="105">
        <v>1</v>
      </c>
      <c r="G76" s="105">
        <v>1</v>
      </c>
      <c r="H76" s="105">
        <v>0.75</v>
      </c>
      <c r="I76" s="101"/>
    </row>
    <row r="77" spans="1:11" ht="18.75" customHeight="1" x14ac:dyDescent="0.3">
      <c r="A77" s="114" t="s">
        <v>340</v>
      </c>
      <c r="B77" s="101" t="s">
        <v>350</v>
      </c>
      <c r="C77" s="105">
        <v>11</v>
      </c>
      <c r="D77" s="105">
        <f>C77</f>
        <v>11</v>
      </c>
      <c r="E77" s="105">
        <f t="shared" ref="E77:H77" si="18">D77</f>
        <v>11</v>
      </c>
      <c r="F77" s="105">
        <f t="shared" si="18"/>
        <v>11</v>
      </c>
      <c r="G77" s="105">
        <f t="shared" si="18"/>
        <v>11</v>
      </c>
      <c r="H77" s="105">
        <f t="shared" si="18"/>
        <v>11</v>
      </c>
      <c r="I77" s="101"/>
    </row>
    <row r="78" spans="1:11" ht="18.75" customHeight="1" x14ac:dyDescent="0.3">
      <c r="A78" s="114" t="s">
        <v>340</v>
      </c>
      <c r="B78" s="101" t="s">
        <v>351</v>
      </c>
      <c r="C78" s="105">
        <v>10</v>
      </c>
      <c r="D78" s="105">
        <f>C78</f>
        <v>10</v>
      </c>
      <c r="E78" s="105">
        <f t="shared" ref="E78:H78" si="19">D78</f>
        <v>10</v>
      </c>
      <c r="F78" s="105">
        <f t="shared" si="19"/>
        <v>10</v>
      </c>
      <c r="G78" s="105">
        <f t="shared" si="19"/>
        <v>10</v>
      </c>
      <c r="H78" s="105">
        <f t="shared" si="19"/>
        <v>10</v>
      </c>
      <c r="I78" s="101"/>
    </row>
    <row r="79" spans="1:11" ht="18.75" customHeight="1" x14ac:dyDescent="0.3">
      <c r="A79" s="114" t="s">
        <v>340</v>
      </c>
      <c r="B79" s="101" t="s">
        <v>352</v>
      </c>
      <c r="C79" s="111">
        <v>1815</v>
      </c>
      <c r="D79" s="111">
        <f>C79</f>
        <v>1815</v>
      </c>
      <c r="E79" s="111">
        <f t="shared" ref="E79:H79" si="20">D79</f>
        <v>1815</v>
      </c>
      <c r="F79" s="111">
        <f t="shared" si="20"/>
        <v>1815</v>
      </c>
      <c r="G79" s="111">
        <f t="shared" si="20"/>
        <v>1815</v>
      </c>
      <c r="H79" s="111">
        <f t="shared" si="20"/>
        <v>1815</v>
      </c>
      <c r="I79" s="101"/>
    </row>
    <row r="80" spans="1:11" ht="18.75" customHeight="1" x14ac:dyDescent="0.3">
      <c r="A80" s="117" t="s">
        <v>340</v>
      </c>
      <c r="B80" s="118" t="s">
        <v>353</v>
      </c>
      <c r="C80" s="120">
        <v>300</v>
      </c>
      <c r="D80" s="120">
        <v>300</v>
      </c>
      <c r="E80" s="120">
        <v>300</v>
      </c>
      <c r="F80" s="120">
        <v>300</v>
      </c>
      <c r="G80" s="120">
        <v>300</v>
      </c>
      <c r="H80" s="120">
        <v>300</v>
      </c>
      <c r="I80" s="118"/>
    </row>
    <row r="81" spans="1:12" x14ac:dyDescent="0.3">
      <c r="A81" s="141" t="s">
        <v>354</v>
      </c>
      <c r="B81" s="128" t="s">
        <v>355</v>
      </c>
      <c r="C81" s="129">
        <f>19.25+4.5</f>
        <v>23.75</v>
      </c>
      <c r="D81" s="129">
        <f>C81</f>
        <v>23.75</v>
      </c>
      <c r="E81" s="129">
        <f t="shared" ref="E81:H81" si="21">D81</f>
        <v>23.75</v>
      </c>
      <c r="F81" s="129">
        <f t="shared" si="21"/>
        <v>23.75</v>
      </c>
      <c r="G81" s="129">
        <f t="shared" si="21"/>
        <v>23.75</v>
      </c>
      <c r="H81" s="129">
        <f t="shared" si="21"/>
        <v>23.75</v>
      </c>
      <c r="I81" s="128" t="s">
        <v>356</v>
      </c>
    </row>
    <row r="82" spans="1:12" x14ac:dyDescent="0.3">
      <c r="A82" s="142" t="s">
        <v>354</v>
      </c>
      <c r="B82" s="101" t="s">
        <v>357</v>
      </c>
      <c r="C82" s="106">
        <f>20.25+4.5</f>
        <v>24.75</v>
      </c>
      <c r="D82" s="106">
        <f>C82</f>
        <v>24.75</v>
      </c>
      <c r="E82" s="106">
        <f t="shared" ref="E82" si="22">D82</f>
        <v>24.75</v>
      </c>
      <c r="F82" s="106">
        <f t="shared" ref="F82" si="23">E82</f>
        <v>24.75</v>
      </c>
      <c r="G82" s="106">
        <f t="shared" ref="G82" si="24">F82</f>
        <v>24.75</v>
      </c>
      <c r="H82" s="106">
        <f t="shared" ref="H82" si="25">G82</f>
        <v>24.75</v>
      </c>
      <c r="I82" s="101" t="s">
        <v>358</v>
      </c>
    </row>
    <row r="83" spans="1:12" ht="27.6" x14ac:dyDescent="0.3">
      <c r="A83" s="143" t="s">
        <v>354</v>
      </c>
      <c r="B83" s="118" t="s">
        <v>359</v>
      </c>
      <c r="C83" s="119">
        <f>20.25+3.04+4.5</f>
        <v>27.79</v>
      </c>
      <c r="D83" s="119">
        <f>C83</f>
        <v>27.79</v>
      </c>
      <c r="E83" s="119">
        <f t="shared" ref="E83:H83" si="26">D83</f>
        <v>27.79</v>
      </c>
      <c r="F83" s="119">
        <f t="shared" si="26"/>
        <v>27.79</v>
      </c>
      <c r="G83" s="119">
        <f t="shared" si="26"/>
        <v>27.79</v>
      </c>
      <c r="H83" s="119">
        <f t="shared" si="26"/>
        <v>27.79</v>
      </c>
      <c r="I83" s="112" t="s">
        <v>360</v>
      </c>
    </row>
    <row r="85" spans="1:12" x14ac:dyDescent="0.3">
      <c r="I85" s="101"/>
    </row>
    <row r="86" spans="1:12" ht="13.8" x14ac:dyDescent="0.3">
      <c r="I86" s="115"/>
      <c r="J86" s="100"/>
      <c r="L86" s="100"/>
    </row>
  </sheetData>
  <mergeCells count="1">
    <mergeCell ref="I21:I22"/>
  </mergeCells>
  <phoneticPr fontId="31" type="noConversion"/>
  <pageMargins left="0.7" right="0.7" top="0.75" bottom="0.75" header="0.3" footer="0.3"/>
  <pageSetup orientation="portrait" horizontalDpi="1200" verticalDpi="1200" r:id="rId1"/>
  <ignoredErrors>
    <ignoredError sqref="E38:H38"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74"/>
  <sheetViews>
    <sheetView topLeftCell="B1" zoomScaleNormal="100" workbookViewId="0">
      <selection activeCell="B2" sqref="B2:I2"/>
    </sheetView>
  </sheetViews>
  <sheetFormatPr defaultColWidth="9.109375" defaultRowHeight="13.8" x14ac:dyDescent="0.3"/>
  <cols>
    <col min="1" max="1" width="5.109375" style="70" customWidth="1"/>
    <col min="2" max="2" width="22.33203125" style="70" customWidth="1"/>
    <col min="3" max="3" width="44.21875" style="59" customWidth="1"/>
    <col min="4" max="4" width="12.6640625" style="59" customWidth="1"/>
    <col min="5" max="5" width="11.44140625" style="59" customWidth="1"/>
    <col min="6" max="6" width="11.6640625" style="59" customWidth="1"/>
    <col min="7" max="7" width="12.6640625" style="59" customWidth="1"/>
    <col min="8" max="8" width="12.44140625" style="59" customWidth="1"/>
    <col min="9" max="9" width="17.88671875" style="59" customWidth="1"/>
    <col min="10" max="10" width="10.6640625" style="59" customWidth="1"/>
    <col min="11" max="16384" width="9.109375" style="59"/>
  </cols>
  <sheetData>
    <row r="2" spans="1:12" s="66" customFormat="1" ht="46.5" customHeight="1" x14ac:dyDescent="0.3">
      <c r="A2" s="68"/>
      <c r="B2" s="309" t="s">
        <v>488</v>
      </c>
      <c r="C2" s="309"/>
      <c r="D2" s="309"/>
      <c r="E2" s="309"/>
      <c r="F2" s="309"/>
      <c r="G2" s="309"/>
      <c r="H2" s="309"/>
      <c r="I2" s="309"/>
      <c r="J2" s="94"/>
      <c r="K2" s="69"/>
    </row>
    <row r="3" spans="1:12" s="60" customFormat="1" ht="48" customHeight="1" x14ac:dyDescent="0.3">
      <c r="A3" s="146"/>
      <c r="B3" s="201" t="s">
        <v>413</v>
      </c>
      <c r="C3" s="202" t="s">
        <v>414</v>
      </c>
      <c r="D3" s="203" t="s">
        <v>41</v>
      </c>
      <c r="E3" s="204" t="s">
        <v>42</v>
      </c>
      <c r="F3" s="204" t="s">
        <v>43</v>
      </c>
      <c r="G3" s="204" t="s">
        <v>44</v>
      </c>
      <c r="H3" s="204" t="s">
        <v>45</v>
      </c>
      <c r="I3" s="163" t="s">
        <v>408</v>
      </c>
      <c r="J3" s="57"/>
      <c r="K3" s="71"/>
    </row>
    <row r="4" spans="1:12" ht="16.2" customHeight="1" x14ac:dyDescent="0.25">
      <c r="A4" s="146"/>
      <c r="B4" s="205" t="s">
        <v>415</v>
      </c>
      <c r="C4" s="57" t="s">
        <v>378</v>
      </c>
      <c r="D4" s="194">
        <v>0</v>
      </c>
      <c r="E4" s="194">
        <v>0</v>
      </c>
      <c r="F4" s="194">
        <v>0</v>
      </c>
      <c r="G4" s="195">
        <f>'App9. Data for tables'!F$7*'App9. Data for tables'!F$62</f>
        <v>48.800000000000004</v>
      </c>
      <c r="H4" s="195">
        <f>'App9. Data for tables'!G$7*'App9. Data for tables'!G$62</f>
        <v>63.2</v>
      </c>
      <c r="I4" s="195">
        <f>'App9. Data for tables'!H$7*'App9. Data for tables'!H$62</f>
        <v>77.600000000000009</v>
      </c>
      <c r="J4" s="57"/>
      <c r="K4" s="96"/>
      <c r="L4" s="60"/>
    </row>
    <row r="5" spans="1:12" ht="16.8" x14ac:dyDescent="0.25">
      <c r="A5" s="146"/>
      <c r="B5" s="205" t="s">
        <v>416</v>
      </c>
      <c r="C5" s="44" t="s">
        <v>406</v>
      </c>
      <c r="D5" s="195">
        <f t="shared" ref="D5:E5" si="0">$G$5</f>
        <v>647.5</v>
      </c>
      <c r="E5" s="195">
        <f t="shared" si="0"/>
        <v>647.5</v>
      </c>
      <c r="F5" s="195">
        <f>$G$5</f>
        <v>647.5</v>
      </c>
      <c r="G5" s="195">
        <f>'App9. Data for tables'!$F$4</f>
        <v>647.5</v>
      </c>
      <c r="H5" s="195">
        <f>'App9. Data for tables'!$G$4</f>
        <v>647.5</v>
      </c>
      <c r="I5" s="195">
        <f>'App9. Data for tables'!$H$4</f>
        <v>647.5</v>
      </c>
      <c r="J5" s="57"/>
      <c r="K5" s="71"/>
      <c r="L5" s="60"/>
    </row>
    <row r="6" spans="1:12" ht="16.8" x14ac:dyDescent="0.25">
      <c r="A6" s="146"/>
      <c r="B6" s="205" t="s">
        <v>416</v>
      </c>
      <c r="C6" s="44" t="s">
        <v>407</v>
      </c>
      <c r="D6" s="196">
        <f t="shared" ref="D6:E6" si="1">$G$6</f>
        <v>35</v>
      </c>
      <c r="E6" s="196">
        <f t="shared" si="1"/>
        <v>35</v>
      </c>
      <c r="F6" s="196">
        <f>$G$6</f>
        <v>35</v>
      </c>
      <c r="G6" s="56">
        <f>'App9. Data for tables'!F$3</f>
        <v>35</v>
      </c>
      <c r="H6" s="56">
        <f>'App9. Data for tables'!G$3</f>
        <v>35</v>
      </c>
      <c r="I6" s="56">
        <f>'App9. Data for tables'!H$3</f>
        <v>35</v>
      </c>
      <c r="J6" s="57"/>
      <c r="K6" s="71"/>
      <c r="L6" s="60"/>
    </row>
    <row r="7" spans="1:12" x14ac:dyDescent="0.25">
      <c r="A7" s="146"/>
      <c r="B7" s="205" t="s">
        <v>417</v>
      </c>
      <c r="C7" s="92" t="s">
        <v>46</v>
      </c>
      <c r="D7" s="213">
        <f t="shared" ref="D7:F7" si="2">D4*D5</f>
        <v>0</v>
      </c>
      <c r="E7" s="213">
        <f t="shared" si="2"/>
        <v>0</v>
      </c>
      <c r="F7" s="213">
        <f t="shared" si="2"/>
        <v>0</v>
      </c>
      <c r="G7" s="213">
        <f>G4*G5</f>
        <v>31598.000000000004</v>
      </c>
      <c r="H7" s="213">
        <f>H4*H5</f>
        <v>40922</v>
      </c>
      <c r="I7" s="213">
        <f>I4*I5</f>
        <v>50246.000000000007</v>
      </c>
      <c r="J7" s="57"/>
      <c r="K7" s="71"/>
      <c r="L7" s="60"/>
    </row>
    <row r="8" spans="1:12" ht="36" customHeight="1" x14ac:dyDescent="0.25">
      <c r="A8" s="146"/>
      <c r="B8" s="205" t="s">
        <v>418</v>
      </c>
      <c r="C8" s="14" t="s">
        <v>47</v>
      </c>
      <c r="D8" s="241">
        <f>SUM('App5. Estab Costs'!$F$5:$F$8)</f>
        <v>1519.79</v>
      </c>
      <c r="E8" s="293">
        <v>0</v>
      </c>
      <c r="F8" s="293">
        <v>0</v>
      </c>
      <c r="G8" s="293">
        <v>0</v>
      </c>
      <c r="H8" s="293">
        <v>0</v>
      </c>
      <c r="I8" s="214">
        <v>0</v>
      </c>
      <c r="J8" s="57"/>
      <c r="K8" s="60"/>
      <c r="L8" s="60"/>
    </row>
    <row r="9" spans="1:12" x14ac:dyDescent="0.25">
      <c r="A9" s="146"/>
      <c r="B9" s="205" t="s">
        <v>418</v>
      </c>
      <c r="C9" s="14" t="s">
        <v>48</v>
      </c>
      <c r="D9" s="241">
        <f>SUM('App5. Estab Costs'!$F$9:$F$10)</f>
        <v>21752.774999999998</v>
      </c>
      <c r="E9" s="293">
        <v>0</v>
      </c>
      <c r="F9" s="293">
        <v>0</v>
      </c>
      <c r="G9" s="293">
        <v>0</v>
      </c>
      <c r="H9" s="293">
        <v>0</v>
      </c>
      <c r="I9" s="214">
        <v>0</v>
      </c>
      <c r="J9" s="57"/>
      <c r="K9" s="60"/>
      <c r="L9" s="60"/>
    </row>
    <row r="10" spans="1:12" ht="16.8" x14ac:dyDescent="0.25">
      <c r="A10" s="146"/>
      <c r="B10" s="205" t="s">
        <v>418</v>
      </c>
      <c r="C10" s="14" t="s">
        <v>379</v>
      </c>
      <c r="D10" s="241">
        <f>'App5. Estab Costs'!$F$16</f>
        <v>1733.75</v>
      </c>
      <c r="E10" s="241">
        <f>'App5. Estab Costs'!$F$33</f>
        <v>1567.5</v>
      </c>
      <c r="F10" s="241">
        <f>'App5. Estab Costs'!$F$49</f>
        <v>1282.5</v>
      </c>
      <c r="G10" s="241">
        <f>'App5. Estab Costs'!$F$72</f>
        <v>688.75</v>
      </c>
      <c r="H10" s="241">
        <f>'App5. Estab Costs'!$F$94</f>
        <v>1021.25</v>
      </c>
      <c r="I10" s="91">
        <f>'App6. Full Prod Costs'!$E$5</f>
        <v>1306.25</v>
      </c>
      <c r="J10" s="57"/>
      <c r="K10" s="60"/>
      <c r="L10" s="60"/>
    </row>
    <row r="11" spans="1:12" ht="16.8" x14ac:dyDescent="0.25">
      <c r="A11" s="146"/>
      <c r="B11" s="205" t="s">
        <v>418</v>
      </c>
      <c r="C11" s="14" t="s">
        <v>380</v>
      </c>
      <c r="D11" s="241">
        <f>'App5. Estab Costs'!$F$17</f>
        <v>0</v>
      </c>
      <c r="E11" s="241">
        <f>'App5. Estab Costs'!$F$34</f>
        <v>0</v>
      </c>
      <c r="F11" s="241">
        <f>'App5. Estab Costs'!$F$50</f>
        <v>0</v>
      </c>
      <c r="G11" s="241">
        <f>'App5. Estab Costs'!$F$73</f>
        <v>0</v>
      </c>
      <c r="H11" s="241">
        <f>'App5. Estab Costs'!$F$95</f>
        <v>0</v>
      </c>
      <c r="I11" s="91">
        <f>'App6. Full Prod Costs'!$E$6</f>
        <v>0</v>
      </c>
      <c r="J11" s="57"/>
      <c r="K11" s="60"/>
      <c r="L11" s="60"/>
    </row>
    <row r="12" spans="1:12" ht="16.8" x14ac:dyDescent="0.25">
      <c r="A12" s="146"/>
      <c r="B12" s="205" t="s">
        <v>418</v>
      </c>
      <c r="C12" s="14" t="s">
        <v>381</v>
      </c>
      <c r="D12" s="241">
        <f>'App5. Estab Costs'!$F$18</f>
        <v>215.57999999999998</v>
      </c>
      <c r="E12" s="241">
        <f>'App5. Estab Costs'!$F$35</f>
        <v>491.15999999999997</v>
      </c>
      <c r="F12" s="241">
        <f>'App5. Estab Costs'!$F$51</f>
        <v>1637.32</v>
      </c>
      <c r="G12" s="241">
        <f>'App5. Estab Costs'!$F$74</f>
        <v>1787.32</v>
      </c>
      <c r="H12" s="241">
        <f>'App5. Estab Costs'!$F$96</f>
        <v>1787.32</v>
      </c>
      <c r="I12" s="91">
        <f>'App6. Full Prod Costs'!$E$7</f>
        <v>1787.32</v>
      </c>
      <c r="J12" s="57"/>
    </row>
    <row r="13" spans="1:12" ht="16.8" x14ac:dyDescent="0.25">
      <c r="A13" s="146"/>
      <c r="B13" s="205" t="s">
        <v>418</v>
      </c>
      <c r="C13" s="14" t="s">
        <v>382</v>
      </c>
      <c r="D13" s="241">
        <f>'App5. Estab Costs'!$F$19+'App5. Estab Costs'!$F$20</f>
        <v>100</v>
      </c>
      <c r="E13" s="241">
        <f>'App5. Estab Costs'!$F$36+'App5. Estab Costs'!$F$37</f>
        <v>124.75</v>
      </c>
      <c r="F13" s="241">
        <f>'App5. Estab Costs'!$F$52+'App5. Estab Costs'!$F$53</f>
        <v>244.75</v>
      </c>
      <c r="G13" s="241">
        <f>'App5. Estab Costs'!$F$75+'App5. Estab Costs'!$F$76</f>
        <v>244.75</v>
      </c>
      <c r="H13" s="241">
        <f>'App5. Estab Costs'!$F$97+'App5. Estab Costs'!$F$98</f>
        <v>319.75</v>
      </c>
      <c r="I13" s="91">
        <f>'App6. Full Prod Costs'!$E$8+'App6. Full Prod Costs'!$E$9</f>
        <v>394.75</v>
      </c>
      <c r="J13" s="57"/>
    </row>
    <row r="14" spans="1:12" x14ac:dyDescent="0.25">
      <c r="A14" s="60"/>
      <c r="B14" s="205" t="s">
        <v>418</v>
      </c>
      <c r="C14" s="14" t="s">
        <v>49</v>
      </c>
      <c r="D14" s="241">
        <f>'App5. Estab Costs'!$F$21+'App5. Estab Costs'!$F$22</f>
        <v>350</v>
      </c>
      <c r="E14" s="241">
        <f>'App5. Estab Costs'!$F$38+'App5. Estab Costs'!$F$39</f>
        <v>350</v>
      </c>
      <c r="F14" s="241">
        <f>'App5. Estab Costs'!$F$54+'App5. Estab Costs'!$F$55</f>
        <v>350</v>
      </c>
      <c r="G14" s="241">
        <f>'App5. Estab Costs'!$F$77+'App5. Estab Costs'!$F$78</f>
        <v>365</v>
      </c>
      <c r="H14" s="241">
        <f>'App5. Estab Costs'!$F$99+'App5. Estab Costs'!$F$100</f>
        <v>365</v>
      </c>
      <c r="I14" s="91">
        <f>'App6. Full Prod Costs'!$E$10+'App6. Full Prod Costs'!$E$11</f>
        <v>365</v>
      </c>
      <c r="J14" s="57"/>
    </row>
    <row r="15" spans="1:12" ht="16.8" x14ac:dyDescent="0.25">
      <c r="A15" s="60"/>
      <c r="B15" s="205" t="s">
        <v>418</v>
      </c>
      <c r="C15" s="14" t="s">
        <v>196</v>
      </c>
      <c r="D15" s="241">
        <f>'App5. Estab Costs'!$F$23</f>
        <v>361.27</v>
      </c>
      <c r="E15" s="241">
        <f>'App5. Estab Costs'!$F$40</f>
        <v>361.27</v>
      </c>
      <c r="F15" s="241">
        <f>'App5. Estab Costs'!$F$56</f>
        <v>361.27</v>
      </c>
      <c r="G15" s="241">
        <f>'App5. Estab Costs'!$F$79</f>
        <v>361.27</v>
      </c>
      <c r="H15" s="241">
        <f>'App5. Estab Costs'!$F$101</f>
        <v>361.27</v>
      </c>
      <c r="I15" s="91">
        <f>'App6. Full Prod Costs'!$E$12</f>
        <v>361.27</v>
      </c>
      <c r="J15" s="57"/>
    </row>
    <row r="16" spans="1:12" ht="16.8" x14ac:dyDescent="0.25">
      <c r="A16" s="146"/>
      <c r="B16" s="205" t="s">
        <v>418</v>
      </c>
      <c r="C16" s="14" t="s">
        <v>383</v>
      </c>
      <c r="D16" s="241">
        <v>0</v>
      </c>
      <c r="E16" s="241">
        <v>0</v>
      </c>
      <c r="F16" s="241">
        <v>0</v>
      </c>
      <c r="G16" s="241">
        <f>'App5. Estab Costs'!$F$71</f>
        <v>150</v>
      </c>
      <c r="H16" s="241">
        <f>'App5. Estab Costs'!$F$93</f>
        <v>150</v>
      </c>
      <c r="I16" s="91">
        <f>'App6. Full Prod Costs'!$E$4</f>
        <v>150</v>
      </c>
      <c r="J16" s="57"/>
    </row>
    <row r="17" spans="1:12" ht="16.8" x14ac:dyDescent="0.25">
      <c r="A17" s="60"/>
      <c r="B17" s="205" t="s">
        <v>418</v>
      </c>
      <c r="C17" s="14" t="s">
        <v>384</v>
      </c>
      <c r="D17" s="241">
        <f>'App5. Estab Costs'!$F$25</f>
        <v>9.9</v>
      </c>
      <c r="E17" s="241">
        <f>'App5. Estab Costs'!$F$41</f>
        <v>9.9</v>
      </c>
      <c r="F17" s="241">
        <f>'App5. Estab Costs'!$F$58</f>
        <v>9.9</v>
      </c>
      <c r="G17" s="241">
        <f>'App5. Estab Costs'!$F$81</f>
        <v>9.9</v>
      </c>
      <c r="H17" s="241">
        <f>'App5. Estab Costs'!$F$103</f>
        <v>9.9</v>
      </c>
      <c r="I17" s="91">
        <f>'App6. Full Prod Costs'!$E$14</f>
        <v>9.9</v>
      </c>
      <c r="J17" s="57"/>
    </row>
    <row r="18" spans="1:12" x14ac:dyDescent="0.25">
      <c r="A18" s="60"/>
      <c r="B18" s="205" t="s">
        <v>418</v>
      </c>
      <c r="C18" s="14" t="s">
        <v>51</v>
      </c>
      <c r="D18" s="241">
        <v>0</v>
      </c>
      <c r="E18" s="241">
        <v>0</v>
      </c>
      <c r="F18" s="241">
        <f>'App5. Estab Costs'!$F$57</f>
        <v>65</v>
      </c>
      <c r="G18" s="241">
        <f>'App5. Estab Costs'!$F$80</f>
        <v>65</v>
      </c>
      <c r="H18" s="241">
        <f>'App5. Estab Costs'!$F$102</f>
        <v>65</v>
      </c>
      <c r="I18" s="91">
        <f>'App6. Full Prod Costs'!$E$13</f>
        <v>65</v>
      </c>
      <c r="J18" s="57"/>
    </row>
    <row r="19" spans="1:12" ht="16.8" x14ac:dyDescent="0.25">
      <c r="A19" s="60"/>
      <c r="B19" s="205" t="s">
        <v>418</v>
      </c>
      <c r="C19" s="14" t="s">
        <v>385</v>
      </c>
      <c r="D19" s="241">
        <f>'App5. Estab Costs'!$F$28</f>
        <v>300</v>
      </c>
      <c r="E19" s="241">
        <f>'App5. Estab Costs'!$F$44</f>
        <v>300</v>
      </c>
      <c r="F19" s="241">
        <f>'App5. Estab Costs'!$F$61</f>
        <v>300</v>
      </c>
      <c r="G19" s="241">
        <f>'App5. Estab Costs'!$F$84</f>
        <v>300</v>
      </c>
      <c r="H19" s="241">
        <f>'App5. Estab Costs'!$F$106</f>
        <v>300</v>
      </c>
      <c r="I19" s="91">
        <f>'App6. Full Prod Costs'!$E$17</f>
        <v>300</v>
      </c>
      <c r="J19" s="57"/>
    </row>
    <row r="20" spans="1:12" x14ac:dyDescent="0.25">
      <c r="A20" s="60"/>
      <c r="B20" s="205" t="s">
        <v>418</v>
      </c>
      <c r="C20" s="14" t="s">
        <v>53</v>
      </c>
      <c r="D20" s="241">
        <v>0</v>
      </c>
      <c r="E20" s="241">
        <v>0</v>
      </c>
      <c r="F20" s="241">
        <f>'App5. Estab Costs'!$F66</f>
        <v>0</v>
      </c>
      <c r="G20" s="241">
        <f>'App5. Estab Costs'!$F89</f>
        <v>2623</v>
      </c>
      <c r="H20" s="241">
        <f>'App5. Estab Costs'!$F111</f>
        <v>3397</v>
      </c>
      <c r="I20" s="91">
        <f>'App6. Full Prod Costs'!$E22</f>
        <v>4171</v>
      </c>
      <c r="J20" s="57"/>
    </row>
    <row r="21" spans="1:12" x14ac:dyDescent="0.25">
      <c r="A21" s="60"/>
      <c r="B21" s="205" t="s">
        <v>418</v>
      </c>
      <c r="C21" s="14" t="s">
        <v>54</v>
      </c>
      <c r="D21" s="241">
        <v>0</v>
      </c>
      <c r="E21" s="241">
        <v>0</v>
      </c>
      <c r="F21" s="241">
        <f>'App5. Estab Costs'!$F67</f>
        <v>0</v>
      </c>
      <c r="G21" s="241">
        <f>'App5. Estab Costs'!$F90</f>
        <v>671</v>
      </c>
      <c r="H21" s="241">
        <f>'App5. Estab Costs'!$F112</f>
        <v>869</v>
      </c>
      <c r="I21" s="91">
        <f>'App6. Full Prod Costs'!$E23</f>
        <v>1067</v>
      </c>
      <c r="J21" s="57"/>
    </row>
    <row r="22" spans="1:12" x14ac:dyDescent="0.25">
      <c r="A22" s="60"/>
      <c r="B22" s="205" t="s">
        <v>418</v>
      </c>
      <c r="C22" s="14" t="s">
        <v>55</v>
      </c>
      <c r="D22" s="241">
        <v>0</v>
      </c>
      <c r="E22" s="241">
        <v>0</v>
      </c>
      <c r="F22" s="241">
        <f>'App5. Estab Costs'!$F68</f>
        <v>0</v>
      </c>
      <c r="G22" s="241">
        <f>'App5. Estab Costs'!$F91</f>
        <v>671</v>
      </c>
      <c r="H22" s="241">
        <f>'App5. Estab Costs'!$F113</f>
        <v>869</v>
      </c>
      <c r="I22" s="91">
        <f>'App6. Full Prod Costs'!$E24</f>
        <v>1067</v>
      </c>
      <c r="J22" s="57"/>
    </row>
    <row r="23" spans="1:12" ht="18.75" customHeight="1" x14ac:dyDescent="0.25">
      <c r="A23" s="60"/>
      <c r="B23" s="205" t="s">
        <v>418</v>
      </c>
      <c r="C23" s="206" t="s">
        <v>386</v>
      </c>
      <c r="D23" s="241">
        <v>0</v>
      </c>
      <c r="E23" s="241">
        <v>0</v>
      </c>
      <c r="F23" s="241">
        <f>'App5. Estab Costs'!$F69</f>
        <v>0</v>
      </c>
      <c r="G23" s="241">
        <f>'App5. Estab Costs'!$F92</f>
        <v>16866.5</v>
      </c>
      <c r="H23" s="241">
        <f>'App5. Estab Costs'!$F114</f>
        <v>21843.5</v>
      </c>
      <c r="I23" s="91">
        <f>'App6. Full Prod Costs'!$E25</f>
        <v>26820.5</v>
      </c>
      <c r="J23" s="57"/>
    </row>
    <row r="24" spans="1:12" ht="18.75" customHeight="1" x14ac:dyDescent="0.25">
      <c r="A24" s="60"/>
      <c r="B24" s="205" t="s">
        <v>418</v>
      </c>
      <c r="C24" s="14" t="s">
        <v>56</v>
      </c>
      <c r="D24" s="241">
        <f>'App5. Estab Costs'!$F$26</f>
        <v>360</v>
      </c>
      <c r="E24" s="241">
        <f>'App5. Estab Costs'!$F$42</f>
        <v>360</v>
      </c>
      <c r="F24" s="241">
        <f>'App5. Estab Costs'!$F$59</f>
        <v>360</v>
      </c>
      <c r="G24" s="241">
        <f>'App5. Estab Costs'!$F$82</f>
        <v>425</v>
      </c>
      <c r="H24" s="241">
        <f>'App5. Estab Costs'!$F$104</f>
        <v>425</v>
      </c>
      <c r="I24" s="91">
        <f>'App6. Full Prod Costs'!$E$15</f>
        <v>425</v>
      </c>
      <c r="J24" s="57"/>
    </row>
    <row r="25" spans="1:12" ht="18.75" customHeight="1" x14ac:dyDescent="0.25">
      <c r="A25" s="60"/>
      <c r="B25" s="205" t="s">
        <v>418</v>
      </c>
      <c r="C25" s="14" t="s">
        <v>57</v>
      </c>
      <c r="D25" s="241">
        <f>'App5. Estab Costs'!$F$27</f>
        <v>270</v>
      </c>
      <c r="E25" s="241">
        <f>'App5. Estab Costs'!$F$43</f>
        <v>270</v>
      </c>
      <c r="F25" s="241">
        <f>'App5. Estab Costs'!$F$60</f>
        <v>270</v>
      </c>
      <c r="G25" s="241">
        <f>'App5. Estab Costs'!$F$83</f>
        <v>270</v>
      </c>
      <c r="H25" s="241">
        <f>'App5. Estab Costs'!$F$105</f>
        <v>270</v>
      </c>
      <c r="I25" s="91">
        <f>'App6. Full Prod Costs'!$E$16</f>
        <v>270</v>
      </c>
      <c r="J25" s="57"/>
    </row>
    <row r="26" spans="1:12" ht="16.8" x14ac:dyDescent="0.25">
      <c r="A26" s="60"/>
      <c r="B26" s="205" t="s">
        <v>418</v>
      </c>
      <c r="C26" s="14" t="s">
        <v>387</v>
      </c>
      <c r="D26" s="241">
        <f>SUM(D8:D25)*'App9. Data for tables'!$C$73</f>
        <v>1348.6532500000003</v>
      </c>
      <c r="E26" s="241">
        <f>SUM(E8:E25)*'App9. Data for tables'!$C$73</f>
        <v>191.72900000000001</v>
      </c>
      <c r="F26" s="241">
        <f>SUM(F8:F25)*'App9. Data for tables'!$C$73</f>
        <v>244.03700000000001</v>
      </c>
      <c r="G26" s="241">
        <f>SUM(G8:G25)*'App9. Data for tables'!$C$73</f>
        <v>1274.9245000000001</v>
      </c>
      <c r="H26" s="241">
        <f>SUM(H8:H25)*'App9. Data for tables'!$C$73</f>
        <v>1602.6495</v>
      </c>
      <c r="I26" s="91">
        <f>SUM(I8:I25)*'App9. Data for tables'!$H$73</f>
        <v>1927.9994999999999</v>
      </c>
      <c r="J26" s="57"/>
      <c r="K26" s="60"/>
      <c r="L26" s="60"/>
    </row>
    <row r="27" spans="1:12" ht="16.8" x14ac:dyDescent="0.25">
      <c r="A27" s="60"/>
      <c r="B27" s="205" t="s">
        <v>418</v>
      </c>
      <c r="C27" s="14" t="s">
        <v>388</v>
      </c>
      <c r="D27" s="241">
        <f>SUM(D8:D26)*'App9. Data for tables'!$C$74*'App9. Data for tables'!$C$76</f>
        <v>1416.0859125000002</v>
      </c>
      <c r="E27" s="241">
        <f>SUM(E8:E26)*'App9. Data for tables'!$D$74*'App9. Data for tables'!$D$76</f>
        <v>201.31545</v>
      </c>
      <c r="F27" s="241">
        <f>SUM(F8:F26)*'App9. Data for tables'!$E$74*'App9. Data for tables'!$E$76</f>
        <v>256.23885000000001</v>
      </c>
      <c r="G27" s="241">
        <f>SUM(G8:G26)*'App9. Data for tables'!$F$74*'App9. Data for tables'!$F$76</f>
        <v>1338.6707249999999</v>
      </c>
      <c r="H27" s="241">
        <f>SUM(H8:H26)*'App9. Data for tables'!$G$74*'App9. Data for tables'!$G$76</f>
        <v>1682.7819749999999</v>
      </c>
      <c r="I27" s="91">
        <f>SUM(I8:I26)*'App9. Data for tables'!$H$74*'App9. Data for tables'!$H$76</f>
        <v>1518.2996062499999</v>
      </c>
      <c r="J27" s="57"/>
      <c r="K27" s="60"/>
      <c r="L27" s="60"/>
    </row>
    <row r="28" spans="1:12" x14ac:dyDescent="0.25">
      <c r="A28" s="60"/>
      <c r="B28" s="207" t="s">
        <v>419</v>
      </c>
      <c r="C28" s="208" t="s">
        <v>58</v>
      </c>
      <c r="D28" s="219">
        <f t="shared" ref="D28:I28" si="3">SUM(D8:D27)</f>
        <v>29737.804162500001</v>
      </c>
      <c r="E28" s="219">
        <f t="shared" si="3"/>
        <v>4227.6244499999993</v>
      </c>
      <c r="F28" s="219">
        <f t="shared" si="3"/>
        <v>5381.0158499999998</v>
      </c>
      <c r="G28" s="219">
        <f t="shared" si="3"/>
        <v>28112.085224999999</v>
      </c>
      <c r="H28" s="219">
        <f t="shared" si="3"/>
        <v>35338.421474999996</v>
      </c>
      <c r="I28" s="213">
        <f t="shared" si="3"/>
        <v>42006.289106249998</v>
      </c>
      <c r="J28" s="57"/>
      <c r="K28" s="60"/>
      <c r="L28" s="60"/>
    </row>
    <row r="29" spans="1:12" s="10" customFormat="1" ht="16.2" customHeight="1" x14ac:dyDescent="0.25">
      <c r="A29" s="13"/>
      <c r="B29" s="207" t="s">
        <v>420</v>
      </c>
      <c r="C29" s="208" t="s">
        <v>421</v>
      </c>
      <c r="D29" s="294">
        <f t="shared" ref="D29:I29" si="4">D7-D28</f>
        <v>-29737.804162500001</v>
      </c>
      <c r="E29" s="294">
        <f t="shared" si="4"/>
        <v>-4227.6244499999993</v>
      </c>
      <c r="F29" s="294">
        <f t="shared" si="4"/>
        <v>-5381.0158499999998</v>
      </c>
      <c r="G29" s="219">
        <f t="shared" si="4"/>
        <v>3485.9147750000047</v>
      </c>
      <c r="H29" s="219">
        <f t="shared" si="4"/>
        <v>5583.5785250000044</v>
      </c>
      <c r="I29" s="213">
        <f t="shared" si="4"/>
        <v>8239.7108937500088</v>
      </c>
      <c r="J29" s="9"/>
      <c r="K29" s="13"/>
      <c r="L29" s="13"/>
    </row>
    <row r="30" spans="1:12" ht="36" customHeight="1" x14ac:dyDescent="0.25">
      <c r="A30" s="60"/>
      <c r="B30" s="205" t="s">
        <v>422</v>
      </c>
      <c r="C30" s="14" t="s">
        <v>59</v>
      </c>
      <c r="D30" s="241">
        <f>'App5. Estab Costs'!$F29</f>
        <v>190</v>
      </c>
      <c r="E30" s="241">
        <f>'App5. Estab Costs'!$F45</f>
        <v>190</v>
      </c>
      <c r="F30" s="241">
        <f>'App5. Estab Costs'!$F62</f>
        <v>190</v>
      </c>
      <c r="G30" s="241">
        <f>'App5. Estab Costs'!$F85</f>
        <v>190</v>
      </c>
      <c r="H30" s="241">
        <f>'App5. Estab Costs'!$F107</f>
        <v>190</v>
      </c>
      <c r="I30" s="91">
        <f>'App6. Full Prod Costs'!$E18</f>
        <v>190</v>
      </c>
      <c r="J30" s="57"/>
      <c r="K30" s="60"/>
      <c r="L30" s="60"/>
    </row>
    <row r="31" spans="1:12" x14ac:dyDescent="0.25">
      <c r="A31" s="60"/>
      <c r="B31" s="205" t="s">
        <v>422</v>
      </c>
      <c r="C31" s="14" t="s">
        <v>60</v>
      </c>
      <c r="D31" s="241">
        <f>'App5. Estab Costs'!$F30</f>
        <v>200</v>
      </c>
      <c r="E31" s="241">
        <f>'App5. Estab Costs'!$F46</f>
        <v>200</v>
      </c>
      <c r="F31" s="241">
        <f>'App5. Estab Costs'!$F63</f>
        <v>200</v>
      </c>
      <c r="G31" s="241">
        <f>'App5. Estab Costs'!$F86</f>
        <v>200</v>
      </c>
      <c r="H31" s="241">
        <f>'App5. Estab Costs'!$F108</f>
        <v>200</v>
      </c>
      <c r="I31" s="91">
        <f>'App6. Full Prod Costs'!$E19</f>
        <v>200</v>
      </c>
      <c r="J31" s="57"/>
      <c r="K31" s="60"/>
      <c r="L31" s="60"/>
    </row>
    <row r="32" spans="1:12" x14ac:dyDescent="0.25">
      <c r="A32" s="60"/>
      <c r="B32" s="205" t="s">
        <v>422</v>
      </c>
      <c r="C32" s="14" t="s">
        <v>61</v>
      </c>
      <c r="D32" s="241">
        <f>'App5. Estab Costs'!$F31</f>
        <v>600</v>
      </c>
      <c r="E32" s="241">
        <f>'App5. Estab Costs'!$F47</f>
        <v>600</v>
      </c>
      <c r="F32" s="241">
        <f>'App5. Estab Costs'!$F64</f>
        <v>600</v>
      </c>
      <c r="G32" s="241">
        <f>'App5. Estab Costs'!$F87</f>
        <v>600</v>
      </c>
      <c r="H32" s="241">
        <f>'App5. Estab Costs'!$F109</f>
        <v>600</v>
      </c>
      <c r="I32" s="91">
        <f>'App6. Full Prod Costs'!$E20</f>
        <v>600</v>
      </c>
      <c r="J32" s="57"/>
      <c r="K32" s="60"/>
      <c r="L32" s="60"/>
    </row>
    <row r="33" spans="1:12" x14ac:dyDescent="0.25">
      <c r="A33" s="60"/>
      <c r="B33" s="207" t="s">
        <v>423</v>
      </c>
      <c r="C33" s="208" t="s">
        <v>62</v>
      </c>
      <c r="D33" s="219">
        <f t="shared" ref="D33:I33" si="5">SUM(D30:D32)</f>
        <v>990</v>
      </c>
      <c r="E33" s="219">
        <f t="shared" si="5"/>
        <v>990</v>
      </c>
      <c r="F33" s="219">
        <f t="shared" si="5"/>
        <v>990</v>
      </c>
      <c r="G33" s="219">
        <f t="shared" si="5"/>
        <v>990</v>
      </c>
      <c r="H33" s="219">
        <f t="shared" si="5"/>
        <v>990</v>
      </c>
      <c r="I33" s="216">
        <f t="shared" si="5"/>
        <v>990</v>
      </c>
      <c r="J33" s="57"/>
      <c r="K33" s="60"/>
      <c r="L33" s="60"/>
    </row>
    <row r="34" spans="1:12" s="10" customFormat="1" ht="28.05" customHeight="1" x14ac:dyDescent="0.25">
      <c r="A34" s="13"/>
      <c r="B34" s="209" t="s">
        <v>424</v>
      </c>
      <c r="C34" s="208" t="s">
        <v>63</v>
      </c>
      <c r="D34" s="219">
        <f t="shared" ref="D34:I34" si="6">D28+D33</f>
        <v>30727.804162500001</v>
      </c>
      <c r="E34" s="219">
        <f t="shared" si="6"/>
        <v>5217.6244499999993</v>
      </c>
      <c r="F34" s="219">
        <f t="shared" si="6"/>
        <v>6371.0158499999998</v>
      </c>
      <c r="G34" s="219">
        <f t="shared" si="6"/>
        <v>29102.085224999999</v>
      </c>
      <c r="H34" s="219">
        <f t="shared" si="6"/>
        <v>36328.421474999996</v>
      </c>
      <c r="I34" s="217">
        <f t="shared" si="6"/>
        <v>42996.289106249998</v>
      </c>
      <c r="J34" s="9"/>
      <c r="K34" s="13"/>
      <c r="L34" s="13"/>
    </row>
    <row r="35" spans="1:12" ht="19.2" customHeight="1" x14ac:dyDescent="0.25">
      <c r="A35" s="60"/>
      <c r="B35" s="209" t="s">
        <v>420</v>
      </c>
      <c r="C35" s="208" t="s">
        <v>64</v>
      </c>
      <c r="D35" s="294">
        <f t="shared" ref="D35:I35" si="7">D7-D34</f>
        <v>-30727.804162500001</v>
      </c>
      <c r="E35" s="294">
        <f t="shared" si="7"/>
        <v>-5217.6244499999993</v>
      </c>
      <c r="F35" s="294">
        <f t="shared" si="7"/>
        <v>-6371.0158499999998</v>
      </c>
      <c r="G35" s="219">
        <f t="shared" si="7"/>
        <v>2495.9147750000047</v>
      </c>
      <c r="H35" s="219">
        <f t="shared" si="7"/>
        <v>4593.5785250000044</v>
      </c>
      <c r="I35" s="213">
        <f t="shared" si="7"/>
        <v>7249.7108937500088</v>
      </c>
      <c r="J35" s="57"/>
      <c r="K35" s="60"/>
      <c r="L35" s="60"/>
    </row>
    <row r="36" spans="1:12" ht="36" customHeight="1" x14ac:dyDescent="0.25">
      <c r="A36" s="60"/>
      <c r="B36" s="210" t="s">
        <v>65</v>
      </c>
      <c r="C36" s="14" t="s">
        <v>66</v>
      </c>
      <c r="D36" s="241">
        <f>'App3&amp;4. Int&amp;Dep'!$G$22</f>
        <v>160</v>
      </c>
      <c r="E36" s="241">
        <f>'App3&amp;4. Int&amp;Dep'!$G$22</f>
        <v>160</v>
      </c>
      <c r="F36" s="241">
        <f>'App3&amp;4. Int&amp;Dep'!$G$22</f>
        <v>160</v>
      </c>
      <c r="G36" s="241">
        <f>'App3&amp;4. Int&amp;Dep'!$G$22</f>
        <v>160</v>
      </c>
      <c r="H36" s="241">
        <f>'App3&amp;4. Int&amp;Dep'!$G$22</f>
        <v>160</v>
      </c>
      <c r="I36" s="91">
        <f>'App3&amp;4. Int&amp;Dep'!$G$22</f>
        <v>160</v>
      </c>
      <c r="J36" s="57"/>
    </row>
    <row r="37" spans="1:12" ht="14.4" x14ac:dyDescent="0.3">
      <c r="A37" s="60"/>
      <c r="B37" s="210" t="s">
        <v>65</v>
      </c>
      <c r="C37" s="14" t="s">
        <v>425</v>
      </c>
      <c r="D37" s="241">
        <f>'App3&amp;4. Int&amp;Dep'!$G$23</f>
        <v>500</v>
      </c>
      <c r="E37" s="241">
        <f>'App3&amp;4. Int&amp;Dep'!$G$23</f>
        <v>500</v>
      </c>
      <c r="F37" s="241">
        <f>'App3&amp;4. Int&amp;Dep'!$G$23</f>
        <v>500</v>
      </c>
      <c r="G37" s="241">
        <f>'App3&amp;4. Int&amp;Dep'!$G$23</f>
        <v>500</v>
      </c>
      <c r="H37" s="241">
        <f>'App3&amp;4. Int&amp;Dep'!$G$23</f>
        <v>500</v>
      </c>
      <c r="I37" s="91">
        <f>'App3&amp;4. Int&amp;Dep'!$G$23</f>
        <v>500</v>
      </c>
      <c r="J37" s="57"/>
    </row>
    <row r="38" spans="1:12" x14ac:dyDescent="0.25">
      <c r="A38" s="60"/>
      <c r="B38" s="210" t="s">
        <v>65</v>
      </c>
      <c r="C38" s="14" t="s">
        <v>67</v>
      </c>
      <c r="D38" s="241">
        <f>'App3&amp;4. Int&amp;Dep'!$G$28</f>
        <v>306.93333333333334</v>
      </c>
      <c r="E38" s="241">
        <f>'App3&amp;4. Int&amp;Dep'!$G$28</f>
        <v>306.93333333333334</v>
      </c>
      <c r="F38" s="241">
        <f>'App3&amp;4. Int&amp;Dep'!$G$28</f>
        <v>306.93333333333334</v>
      </c>
      <c r="G38" s="241">
        <f>'App3&amp;4. Int&amp;Dep'!$G$28</f>
        <v>306.93333333333334</v>
      </c>
      <c r="H38" s="241">
        <f>'App3&amp;4. Int&amp;Dep'!$G$28</f>
        <v>306.93333333333334</v>
      </c>
      <c r="I38" s="91">
        <f>'App3&amp;4. Int&amp;Dep'!$G$28</f>
        <v>306.93333333333334</v>
      </c>
      <c r="J38" s="57"/>
    </row>
    <row r="39" spans="1:12" x14ac:dyDescent="0.25">
      <c r="A39" s="60"/>
      <c r="B39" s="210" t="s">
        <v>65</v>
      </c>
      <c r="C39" s="14" t="s">
        <v>68</v>
      </c>
      <c r="D39" s="241">
        <f>'App3&amp;4. Int&amp;Dep'!$G$24</f>
        <v>30</v>
      </c>
      <c r="E39" s="241">
        <f>'App3&amp;4. Int&amp;Dep'!$G$24</f>
        <v>30</v>
      </c>
      <c r="F39" s="241">
        <f>'App3&amp;4. Int&amp;Dep'!$G$24</f>
        <v>30</v>
      </c>
      <c r="G39" s="241">
        <f>'App3&amp;4. Int&amp;Dep'!$G$24</f>
        <v>30</v>
      </c>
      <c r="H39" s="241">
        <f>'App3&amp;4. Int&amp;Dep'!$G$24</f>
        <v>30</v>
      </c>
      <c r="I39" s="91">
        <f>'App3&amp;4. Int&amp;Dep'!$G$24</f>
        <v>30</v>
      </c>
      <c r="J39" s="57"/>
    </row>
    <row r="40" spans="1:12" x14ac:dyDescent="0.25">
      <c r="A40" s="60"/>
      <c r="B40" s="210" t="s">
        <v>65</v>
      </c>
      <c r="C40" s="14" t="s">
        <v>69</v>
      </c>
      <c r="D40" s="241">
        <f>'App3&amp;4. Int&amp;Dep'!$G$25</f>
        <v>60</v>
      </c>
      <c r="E40" s="241">
        <f>'App3&amp;4. Int&amp;Dep'!$G$25</f>
        <v>60</v>
      </c>
      <c r="F40" s="241">
        <f>'App3&amp;4. Int&amp;Dep'!$G$25</f>
        <v>60</v>
      </c>
      <c r="G40" s="241">
        <f>'App3&amp;4. Int&amp;Dep'!$G$25</f>
        <v>60</v>
      </c>
      <c r="H40" s="241">
        <f>'App3&amp;4. Int&amp;Dep'!$G$25</f>
        <v>60</v>
      </c>
      <c r="I40" s="91">
        <f>'App3&amp;4. Int&amp;Dep'!$G$25</f>
        <v>60</v>
      </c>
      <c r="J40" s="57"/>
    </row>
    <row r="41" spans="1:12" x14ac:dyDescent="0.25">
      <c r="A41" s="60"/>
      <c r="B41" s="210" t="s">
        <v>65</v>
      </c>
      <c r="C41" s="14" t="s">
        <v>70</v>
      </c>
      <c r="D41" s="241">
        <f>'App3&amp;4. Int&amp;Dep'!$G$26</f>
        <v>650</v>
      </c>
      <c r="E41" s="241">
        <f>'App3&amp;4. Int&amp;Dep'!$G$26</f>
        <v>650</v>
      </c>
      <c r="F41" s="241">
        <f>'App3&amp;4. Int&amp;Dep'!$G$26</f>
        <v>650</v>
      </c>
      <c r="G41" s="241">
        <f>'App3&amp;4. Int&amp;Dep'!$G$26</f>
        <v>650</v>
      </c>
      <c r="H41" s="241">
        <f>'App3&amp;4. Int&amp;Dep'!$G$26</f>
        <v>650</v>
      </c>
      <c r="I41" s="91">
        <f>'App3&amp;4. Int&amp;Dep'!$G$26</f>
        <v>650</v>
      </c>
      <c r="J41" s="57"/>
    </row>
    <row r="42" spans="1:12" x14ac:dyDescent="0.25">
      <c r="A42" s="60"/>
      <c r="B42" s="210" t="s">
        <v>65</v>
      </c>
      <c r="C42" s="14" t="s">
        <v>71</v>
      </c>
      <c r="D42" s="241">
        <f>'App3&amp;4. Int&amp;Dep'!$G$27</f>
        <v>133.86133333333333</v>
      </c>
      <c r="E42" s="241">
        <f>'App3&amp;4. Int&amp;Dep'!$G$27</f>
        <v>133.86133333333333</v>
      </c>
      <c r="F42" s="241">
        <f>'App3&amp;4. Int&amp;Dep'!$G$27</f>
        <v>133.86133333333333</v>
      </c>
      <c r="G42" s="241">
        <f>'App3&amp;4. Int&amp;Dep'!$G$27</f>
        <v>133.86133333333333</v>
      </c>
      <c r="H42" s="241">
        <f>'App3&amp;4. Int&amp;Dep'!$G$27</f>
        <v>133.86133333333333</v>
      </c>
      <c r="I42" s="91">
        <f>'App3&amp;4. Int&amp;Dep'!$G$27</f>
        <v>133.86133333333333</v>
      </c>
      <c r="J42" s="57"/>
    </row>
    <row r="43" spans="1:12" x14ac:dyDescent="0.25">
      <c r="A43" s="60"/>
      <c r="B43" s="205" t="s">
        <v>72</v>
      </c>
      <c r="C43" s="14" t="s">
        <v>66</v>
      </c>
      <c r="D43" s="241">
        <f>'App3&amp;4. Int&amp;Dep'!$G$4</f>
        <v>120</v>
      </c>
      <c r="E43" s="241">
        <f>'App3&amp;4. Int&amp;Dep'!$G$4</f>
        <v>120</v>
      </c>
      <c r="F43" s="241">
        <f>'App3&amp;4. Int&amp;Dep'!$G$4</f>
        <v>120</v>
      </c>
      <c r="G43" s="241">
        <f>'App3&amp;4. Int&amp;Dep'!$G$4</f>
        <v>120</v>
      </c>
      <c r="H43" s="241">
        <f>'App3&amp;4. Int&amp;Dep'!$G$4</f>
        <v>120</v>
      </c>
      <c r="I43" s="91">
        <f>'App3&amp;4. Int&amp;Dep'!$G$4</f>
        <v>120</v>
      </c>
      <c r="J43" s="57"/>
    </row>
    <row r="44" spans="1:12" ht="14.4" x14ac:dyDescent="0.3">
      <c r="A44" s="60"/>
      <c r="B44" s="205" t="s">
        <v>72</v>
      </c>
      <c r="C44" s="14" t="s">
        <v>425</v>
      </c>
      <c r="D44" s="241">
        <f>'App3&amp;4. Int&amp;Dep'!$G$5</f>
        <v>250</v>
      </c>
      <c r="E44" s="241">
        <f>'App3&amp;4. Int&amp;Dep'!$G$5</f>
        <v>250</v>
      </c>
      <c r="F44" s="241">
        <f>'App3&amp;4. Int&amp;Dep'!$G$5</f>
        <v>250</v>
      </c>
      <c r="G44" s="241">
        <f>'App3&amp;4. Int&amp;Dep'!$G$5</f>
        <v>250</v>
      </c>
      <c r="H44" s="241">
        <f>'App3&amp;4. Int&amp;Dep'!$G$5</f>
        <v>250</v>
      </c>
      <c r="I44" s="91">
        <f>'App3&amp;4. Int&amp;Dep'!$G$5</f>
        <v>250</v>
      </c>
      <c r="J44" s="57"/>
    </row>
    <row r="45" spans="1:12" ht="16.8" x14ac:dyDescent="0.25">
      <c r="A45" s="60"/>
      <c r="B45" s="205" t="s">
        <v>72</v>
      </c>
      <c r="C45" s="14" t="s">
        <v>389</v>
      </c>
      <c r="D45" s="241">
        <f>'App3&amp;4. Int&amp;Dep'!$G$6</f>
        <v>1000</v>
      </c>
      <c r="E45" s="241">
        <f>'App3&amp;4. Int&amp;Dep'!$G$6</f>
        <v>1000</v>
      </c>
      <c r="F45" s="241">
        <f>'App3&amp;4. Int&amp;Dep'!$G$6</f>
        <v>1000</v>
      </c>
      <c r="G45" s="241">
        <f>'App3&amp;4. Int&amp;Dep'!$G$6</f>
        <v>1000</v>
      </c>
      <c r="H45" s="241">
        <f>'App3&amp;4. Int&amp;Dep'!$G$6</f>
        <v>1000</v>
      </c>
      <c r="I45" s="91">
        <f>'App3&amp;4. Int&amp;Dep'!$G$6</f>
        <v>1000</v>
      </c>
      <c r="J45" s="57"/>
    </row>
    <row r="46" spans="1:12" x14ac:dyDescent="0.25">
      <c r="A46" s="60"/>
      <c r="B46" s="205" t="s">
        <v>72</v>
      </c>
      <c r="C46" s="14" t="s">
        <v>67</v>
      </c>
      <c r="D46" s="241">
        <f>'App3&amp;4. Int&amp;Dep'!$G$7</f>
        <v>106.4</v>
      </c>
      <c r="E46" s="241">
        <f>'App3&amp;4. Int&amp;Dep'!$G$7</f>
        <v>106.4</v>
      </c>
      <c r="F46" s="241">
        <f>'App3&amp;4. Int&amp;Dep'!$G$7</f>
        <v>106.4</v>
      </c>
      <c r="G46" s="241">
        <f>'App3&amp;4. Int&amp;Dep'!$G$7</f>
        <v>106.4</v>
      </c>
      <c r="H46" s="241">
        <f>'App3&amp;4. Int&amp;Dep'!$G$7</f>
        <v>106.4</v>
      </c>
      <c r="I46" s="91">
        <f>'App3&amp;4. Int&amp;Dep'!$G$7</f>
        <v>106.4</v>
      </c>
      <c r="J46" s="57"/>
    </row>
    <row r="47" spans="1:12" x14ac:dyDescent="0.25">
      <c r="A47" s="60"/>
      <c r="B47" s="205" t="s">
        <v>72</v>
      </c>
      <c r="C47" s="14" t="s">
        <v>68</v>
      </c>
      <c r="D47" s="241">
        <f>'App3&amp;4. Int&amp;Dep'!$G$8</f>
        <v>22.5</v>
      </c>
      <c r="E47" s="241">
        <f>'App3&amp;4. Int&amp;Dep'!$G$8</f>
        <v>22.5</v>
      </c>
      <c r="F47" s="241">
        <f>'App3&amp;4. Int&amp;Dep'!$G$8</f>
        <v>22.5</v>
      </c>
      <c r="G47" s="241">
        <f>'App3&amp;4. Int&amp;Dep'!$G$8</f>
        <v>22.5</v>
      </c>
      <c r="H47" s="241">
        <f>'App3&amp;4. Int&amp;Dep'!$G$8</f>
        <v>22.5</v>
      </c>
      <c r="I47" s="91">
        <f>'App3&amp;4. Int&amp;Dep'!$G$8</f>
        <v>22.5</v>
      </c>
      <c r="J47" s="57"/>
    </row>
    <row r="48" spans="1:12" x14ac:dyDescent="0.25">
      <c r="A48" s="60"/>
      <c r="B48" s="205" t="s">
        <v>72</v>
      </c>
      <c r="C48" s="14" t="s">
        <v>69</v>
      </c>
      <c r="D48" s="241">
        <f>'App3&amp;4. Int&amp;Dep'!$G$9</f>
        <v>75</v>
      </c>
      <c r="E48" s="241">
        <f>'App3&amp;4. Int&amp;Dep'!$G$9</f>
        <v>75</v>
      </c>
      <c r="F48" s="241">
        <f>'App3&amp;4. Int&amp;Dep'!$G$9</f>
        <v>75</v>
      </c>
      <c r="G48" s="241">
        <f>'App3&amp;4. Int&amp;Dep'!$G$9</f>
        <v>75</v>
      </c>
      <c r="H48" s="241">
        <f>'App3&amp;4. Int&amp;Dep'!$G$9</f>
        <v>75</v>
      </c>
      <c r="I48" s="91">
        <f>'App3&amp;4. Int&amp;Dep'!$G$9</f>
        <v>75</v>
      </c>
      <c r="J48" s="57"/>
    </row>
    <row r="49" spans="1:13" x14ac:dyDescent="0.25">
      <c r="A49" s="60"/>
      <c r="B49" s="205" t="s">
        <v>72</v>
      </c>
      <c r="C49" s="14" t="s">
        <v>70</v>
      </c>
      <c r="D49" s="241">
        <f>'App3&amp;4. Int&amp;Dep'!$G$10</f>
        <v>325</v>
      </c>
      <c r="E49" s="241">
        <f>'App3&amp;4. Int&amp;Dep'!$G$10</f>
        <v>325</v>
      </c>
      <c r="F49" s="241">
        <f>'App3&amp;4. Int&amp;Dep'!$G$10</f>
        <v>325</v>
      </c>
      <c r="G49" s="241">
        <f>'App3&amp;4. Int&amp;Dep'!$G$10</f>
        <v>325</v>
      </c>
      <c r="H49" s="241">
        <f>'App3&amp;4. Int&amp;Dep'!$G$10</f>
        <v>325</v>
      </c>
      <c r="I49" s="91">
        <f>'App3&amp;4. Int&amp;Dep'!$G$10</f>
        <v>325</v>
      </c>
      <c r="J49" s="57"/>
    </row>
    <row r="50" spans="1:13" x14ac:dyDescent="0.25">
      <c r="A50" s="60"/>
      <c r="B50" s="205" t="s">
        <v>72</v>
      </c>
      <c r="C50" s="14" t="s">
        <v>73</v>
      </c>
      <c r="D50" s="241">
        <f>'App3&amp;4. Int&amp;Dep'!$G$11</f>
        <v>100.396</v>
      </c>
      <c r="E50" s="241">
        <f>'App3&amp;4. Int&amp;Dep'!$G$11</f>
        <v>100.396</v>
      </c>
      <c r="F50" s="241">
        <f>'App3&amp;4. Int&amp;Dep'!$G$11</f>
        <v>100.396</v>
      </c>
      <c r="G50" s="241">
        <f>'App3&amp;4. Int&amp;Dep'!$G$11</f>
        <v>100.396</v>
      </c>
      <c r="H50" s="241">
        <f>'App3&amp;4. Int&amp;Dep'!$G$11</f>
        <v>100.396</v>
      </c>
      <c r="I50" s="91">
        <f>'App3&amp;4. Int&amp;Dep'!$G$11</f>
        <v>100.396</v>
      </c>
      <c r="J50" s="57"/>
      <c r="K50" s="60"/>
      <c r="L50" s="60"/>
      <c r="M50" s="60"/>
    </row>
    <row r="51" spans="1:13" x14ac:dyDescent="0.25">
      <c r="A51" s="60"/>
      <c r="B51" s="205" t="s">
        <v>72</v>
      </c>
      <c r="C51" s="14" t="s">
        <v>74</v>
      </c>
      <c r="D51" s="241">
        <v>0</v>
      </c>
      <c r="E51" s="241">
        <f>D59*'App9. Data for tables'!$C$75</f>
        <v>1765.8947414583336</v>
      </c>
      <c r="F51" s="241">
        <f>E59*'App9. Data for tables'!$D$75</f>
        <v>2344.5752343645836</v>
      </c>
      <c r="G51" s="241">
        <f>F59*'App9. Data for tables'!$E$75</f>
        <v>3009.8593219161467</v>
      </c>
      <c r="H51" s="241">
        <f>G59*'App9. Data for tables'!$F$75</f>
        <v>3265.0610825952872</v>
      </c>
      <c r="I51" s="91">
        <v>0</v>
      </c>
      <c r="J51" s="57"/>
      <c r="K51" s="60"/>
      <c r="L51" s="60"/>
      <c r="M51" s="60"/>
    </row>
    <row r="52" spans="1:13" x14ac:dyDescent="0.25">
      <c r="A52" s="60"/>
      <c r="B52" s="14" t="s">
        <v>426</v>
      </c>
      <c r="C52" s="14" t="s">
        <v>75</v>
      </c>
      <c r="D52" s="241">
        <f>'App5. Estab Costs'!$F$32</f>
        <v>750</v>
      </c>
      <c r="E52" s="241">
        <f>'App5. Estab Costs'!$F$48</f>
        <v>750</v>
      </c>
      <c r="F52" s="241">
        <f>'App5. Estab Costs'!$F$65</f>
        <v>750</v>
      </c>
      <c r="G52" s="241">
        <f>'App5. Estab Costs'!$F$88</f>
        <v>750</v>
      </c>
      <c r="H52" s="241">
        <f>'App5. Estab Costs'!F110</f>
        <v>750</v>
      </c>
      <c r="I52" s="91">
        <f>'App6. Full Prod Costs'!$E$21</f>
        <v>750</v>
      </c>
      <c r="J52" s="57"/>
      <c r="K52" s="60"/>
      <c r="L52" s="60"/>
      <c r="M52" s="60"/>
    </row>
    <row r="53" spans="1:13" ht="16.8" x14ac:dyDescent="0.25">
      <c r="A53" s="60"/>
      <c r="B53" s="14" t="s">
        <v>426</v>
      </c>
      <c r="C53" s="14" t="s">
        <v>390</v>
      </c>
      <c r="D53" s="241">
        <v>0</v>
      </c>
      <c r="E53" s="241">
        <v>0</v>
      </c>
      <c r="F53" s="241">
        <v>0</v>
      </c>
      <c r="G53" s="241">
        <v>0</v>
      </c>
      <c r="H53" s="241">
        <v>0</v>
      </c>
      <c r="I53" s="91">
        <f>-'App8. Amort Calc'!C8</f>
        <v>6605.4965032533746</v>
      </c>
      <c r="J53" s="57"/>
      <c r="K53" s="60"/>
      <c r="L53" s="60"/>
      <c r="M53" s="60"/>
    </row>
    <row r="54" spans="1:13" ht="41.4" x14ac:dyDescent="0.25">
      <c r="A54" s="60"/>
      <c r="B54" s="209" t="s">
        <v>427</v>
      </c>
      <c r="C54" s="208" t="s">
        <v>76</v>
      </c>
      <c r="D54" s="219">
        <f t="shared" ref="D54:H54" si="8">SUM(D36:D53)</f>
        <v>4590.0906666666669</v>
      </c>
      <c r="E54" s="219">
        <f t="shared" si="8"/>
        <v>6355.9854081250005</v>
      </c>
      <c r="F54" s="219">
        <f t="shared" si="8"/>
        <v>6934.6659010312505</v>
      </c>
      <c r="G54" s="219">
        <f t="shared" si="8"/>
        <v>7599.9499885828136</v>
      </c>
      <c r="H54" s="219">
        <f t="shared" si="8"/>
        <v>7855.1517492619541</v>
      </c>
      <c r="I54" s="213">
        <f>SUM(I36:I53)</f>
        <v>11195.587169920042</v>
      </c>
      <c r="J54" s="57"/>
      <c r="K54" s="60"/>
      <c r="L54" s="60"/>
      <c r="M54" s="60"/>
    </row>
    <row r="55" spans="1:13" s="10" customFormat="1" ht="36" customHeight="1" x14ac:dyDescent="0.25">
      <c r="A55" s="13"/>
      <c r="B55" s="207" t="s">
        <v>420</v>
      </c>
      <c r="C55" s="208" t="s">
        <v>77</v>
      </c>
      <c r="D55" s="295">
        <f t="shared" ref="D55:I55" si="9">D7-SUM(D34,D36:D42)</f>
        <v>-32568.598829166669</v>
      </c>
      <c r="E55" s="295">
        <f t="shared" si="9"/>
        <v>-7058.419116666666</v>
      </c>
      <c r="F55" s="295">
        <f t="shared" si="9"/>
        <v>-8211.8105166666664</v>
      </c>
      <c r="G55" s="296">
        <f t="shared" si="9"/>
        <v>655.12010833333625</v>
      </c>
      <c r="H55" s="296">
        <f t="shared" si="9"/>
        <v>2752.783858333336</v>
      </c>
      <c r="I55" s="218">
        <f t="shared" si="9"/>
        <v>5408.9162270833403</v>
      </c>
      <c r="J55" s="9"/>
      <c r="K55" s="13"/>
      <c r="L55" s="13"/>
      <c r="M55" s="13"/>
    </row>
    <row r="56" spans="1:13" s="10" customFormat="1" ht="36" customHeight="1" x14ac:dyDescent="0.25">
      <c r="A56" s="13"/>
      <c r="B56" s="209" t="s">
        <v>428</v>
      </c>
      <c r="C56" s="208" t="s">
        <v>78</v>
      </c>
      <c r="D56" s="219">
        <f t="shared" ref="D56:I56" si="10">D33+D54</f>
        <v>5580.0906666666669</v>
      </c>
      <c r="E56" s="219">
        <f t="shared" si="10"/>
        <v>7345.9854081250005</v>
      </c>
      <c r="F56" s="219">
        <f t="shared" si="10"/>
        <v>7924.6659010312505</v>
      </c>
      <c r="G56" s="219">
        <f t="shared" si="10"/>
        <v>8589.9499885828136</v>
      </c>
      <c r="H56" s="219">
        <f t="shared" si="10"/>
        <v>8845.1517492619532</v>
      </c>
      <c r="I56" s="213">
        <f t="shared" si="10"/>
        <v>12185.587169920042</v>
      </c>
      <c r="J56" s="9"/>
      <c r="K56" s="13"/>
      <c r="L56" s="13"/>
      <c r="M56" s="13"/>
    </row>
    <row r="57" spans="1:13" s="10" customFormat="1" ht="36" customHeight="1" x14ac:dyDescent="0.25">
      <c r="A57" s="13"/>
      <c r="B57" s="207" t="s">
        <v>429</v>
      </c>
      <c r="C57" s="92" t="s">
        <v>430</v>
      </c>
      <c r="D57" s="219">
        <f t="shared" ref="D57:I57" si="11">D28+D56</f>
        <v>35317.894829166667</v>
      </c>
      <c r="E57" s="219">
        <f t="shared" si="11"/>
        <v>11573.609858125001</v>
      </c>
      <c r="F57" s="219">
        <f t="shared" si="11"/>
        <v>13305.68175103125</v>
      </c>
      <c r="G57" s="219">
        <f t="shared" si="11"/>
        <v>36702.035213582814</v>
      </c>
      <c r="H57" s="219">
        <f t="shared" si="11"/>
        <v>44183.573224261949</v>
      </c>
      <c r="I57" s="219">
        <f t="shared" si="11"/>
        <v>54191.876276170042</v>
      </c>
      <c r="J57" s="9"/>
      <c r="K57" s="13"/>
      <c r="L57" s="13"/>
      <c r="M57" s="13"/>
    </row>
    <row r="58" spans="1:13" s="10" customFormat="1" ht="36" customHeight="1" x14ac:dyDescent="0.25">
      <c r="A58" s="13"/>
      <c r="B58" s="209" t="s">
        <v>431</v>
      </c>
      <c r="C58" s="92" t="s">
        <v>79</v>
      </c>
      <c r="D58" s="294">
        <f t="shared" ref="D58:I58" si="12">D7-D57</f>
        <v>-35317.894829166667</v>
      </c>
      <c r="E58" s="294">
        <f t="shared" si="12"/>
        <v>-11573.609858125001</v>
      </c>
      <c r="F58" s="294">
        <f t="shared" si="12"/>
        <v>-13305.68175103125</v>
      </c>
      <c r="G58" s="294">
        <f t="shared" si="12"/>
        <v>-5104.0352135828107</v>
      </c>
      <c r="H58" s="294">
        <f t="shared" si="12"/>
        <v>-3261.5732242619488</v>
      </c>
      <c r="I58" s="215">
        <f t="shared" si="12"/>
        <v>-3945.8762761700345</v>
      </c>
      <c r="J58" s="9"/>
      <c r="K58" s="13"/>
      <c r="L58" s="193"/>
      <c r="M58" s="13"/>
    </row>
    <row r="59" spans="1:13" s="10" customFormat="1" ht="36" customHeight="1" x14ac:dyDescent="0.25">
      <c r="A59" s="13"/>
      <c r="B59" s="211" t="s">
        <v>432</v>
      </c>
      <c r="C59" s="212" t="s">
        <v>80</v>
      </c>
      <c r="D59" s="245">
        <f>D57-D7</f>
        <v>35317.894829166667</v>
      </c>
      <c r="E59" s="245">
        <f>SUM(D57:E57)-SUM(D7:E7)</f>
        <v>46891.504687291672</v>
      </c>
      <c r="F59" s="245">
        <f>SUM(D57:F57)-SUM(D7:F7)</f>
        <v>60197.186438322926</v>
      </c>
      <c r="G59" s="245">
        <f>SUM(D57:G57)-SUM(D7:G7)</f>
        <v>65301.22165190574</v>
      </c>
      <c r="H59" s="245">
        <f>SUM(D57:H57)-SUM(D7:H7)</f>
        <v>68562.794876167696</v>
      </c>
      <c r="I59" s="147"/>
      <c r="J59" s="9"/>
      <c r="K59" s="13"/>
      <c r="L59" s="13"/>
      <c r="M59" s="13"/>
    </row>
    <row r="60" spans="1:13" x14ac:dyDescent="0.3">
      <c r="A60" s="60"/>
      <c r="B60" s="40" t="s">
        <v>81</v>
      </c>
      <c r="C60" s="58"/>
      <c r="D60" s="58"/>
      <c r="E60" s="58"/>
      <c r="F60" s="58"/>
      <c r="G60" s="58"/>
      <c r="H60" s="56"/>
      <c r="I60" s="57"/>
    </row>
    <row r="61" spans="1:13" s="60" customFormat="1" ht="18" customHeight="1" x14ac:dyDescent="0.3">
      <c r="B61" s="40" t="s">
        <v>391</v>
      </c>
      <c r="C61" s="58"/>
      <c r="D61" s="58"/>
      <c r="E61" s="58"/>
      <c r="F61" s="58"/>
      <c r="G61" s="58"/>
      <c r="H61" s="56"/>
      <c r="I61" s="57"/>
    </row>
    <row r="62" spans="1:13" s="60" customFormat="1" ht="36" customHeight="1" x14ac:dyDescent="0.3">
      <c r="B62" s="307" t="s">
        <v>392</v>
      </c>
      <c r="C62" s="307"/>
      <c r="D62" s="307"/>
      <c r="E62" s="307"/>
      <c r="F62" s="307"/>
      <c r="G62" s="307"/>
      <c r="H62" s="307"/>
      <c r="I62" s="307"/>
    </row>
    <row r="63" spans="1:13" ht="18.75" customHeight="1" x14ac:dyDescent="0.3">
      <c r="A63" s="146"/>
      <c r="B63" s="40" t="s">
        <v>393</v>
      </c>
      <c r="C63" s="57"/>
      <c r="D63" s="57"/>
      <c r="E63" s="57"/>
      <c r="F63" s="57"/>
      <c r="G63" s="57"/>
      <c r="H63" s="57"/>
      <c r="I63" s="57"/>
    </row>
    <row r="64" spans="1:13" ht="18" customHeight="1" x14ac:dyDescent="0.3">
      <c r="A64" s="146"/>
      <c r="B64" s="40" t="s">
        <v>394</v>
      </c>
      <c r="C64" s="57"/>
      <c r="D64" s="57"/>
      <c r="E64" s="57"/>
      <c r="F64" s="57"/>
      <c r="G64" s="57"/>
      <c r="H64" s="57"/>
      <c r="I64" s="57"/>
    </row>
    <row r="65" spans="1:9" ht="18" customHeight="1" x14ac:dyDescent="0.3">
      <c r="A65" s="146"/>
      <c r="B65" s="40" t="s">
        <v>395</v>
      </c>
      <c r="C65" s="57"/>
      <c r="D65" s="57"/>
      <c r="E65" s="57"/>
      <c r="F65" s="57"/>
      <c r="G65" s="57"/>
      <c r="H65" s="57"/>
      <c r="I65" s="57"/>
    </row>
    <row r="66" spans="1:9" ht="36" customHeight="1" x14ac:dyDescent="0.3">
      <c r="A66" s="146"/>
      <c r="B66" s="307" t="s">
        <v>396</v>
      </c>
      <c r="C66" s="307"/>
      <c r="D66" s="307"/>
      <c r="E66" s="307"/>
      <c r="F66" s="307"/>
      <c r="G66" s="307"/>
      <c r="H66" s="307"/>
      <c r="I66" s="307"/>
    </row>
    <row r="67" spans="1:9" ht="18" customHeight="1" x14ac:dyDescent="0.3">
      <c r="A67" s="146"/>
      <c r="B67" s="40" t="s">
        <v>397</v>
      </c>
      <c r="C67" s="57"/>
      <c r="D67" s="57"/>
      <c r="E67" s="57"/>
      <c r="F67" s="57"/>
      <c r="G67" s="57"/>
      <c r="H67" s="57"/>
      <c r="I67" s="57"/>
    </row>
    <row r="68" spans="1:9" ht="18" customHeight="1" x14ac:dyDescent="0.3">
      <c r="A68" s="146"/>
      <c r="B68" s="40" t="s">
        <v>398</v>
      </c>
      <c r="C68" s="57"/>
      <c r="D68" s="57"/>
      <c r="E68" s="57"/>
      <c r="F68" s="57"/>
      <c r="G68" s="57"/>
      <c r="H68" s="57"/>
      <c r="I68" s="57"/>
    </row>
    <row r="69" spans="1:9" ht="36" customHeight="1" x14ac:dyDescent="0.3">
      <c r="A69" s="146"/>
      <c r="B69" s="307" t="s">
        <v>399</v>
      </c>
      <c r="C69" s="307"/>
      <c r="D69" s="307"/>
      <c r="E69" s="307"/>
      <c r="F69" s="307"/>
      <c r="G69" s="307"/>
      <c r="H69" s="307"/>
      <c r="I69" s="307"/>
    </row>
    <row r="70" spans="1:9" ht="18" customHeight="1" x14ac:dyDescent="0.3">
      <c r="A70" s="146"/>
      <c r="B70" s="40" t="s">
        <v>400</v>
      </c>
      <c r="C70" s="60"/>
      <c r="D70" s="60"/>
      <c r="E70" s="60"/>
      <c r="F70" s="60"/>
      <c r="G70" s="60"/>
      <c r="H70" s="60"/>
      <c r="I70" s="60"/>
    </row>
    <row r="71" spans="1:9" ht="36" customHeight="1" x14ac:dyDescent="0.3">
      <c r="A71" s="146"/>
      <c r="B71" s="307" t="s">
        <v>401</v>
      </c>
      <c r="C71" s="307"/>
      <c r="D71" s="307"/>
      <c r="E71" s="307"/>
      <c r="F71" s="307"/>
      <c r="G71" s="307"/>
      <c r="H71" s="307"/>
      <c r="I71" s="307"/>
    </row>
    <row r="72" spans="1:9" ht="18" customHeight="1" x14ac:dyDescent="0.3">
      <c r="A72" s="146"/>
      <c r="B72" s="307" t="s">
        <v>402</v>
      </c>
      <c r="C72" s="307"/>
      <c r="D72" s="307"/>
      <c r="E72" s="307"/>
      <c r="F72" s="307"/>
      <c r="G72" s="307"/>
      <c r="H72" s="307"/>
      <c r="I72" s="307"/>
    </row>
    <row r="73" spans="1:9" ht="18" customHeight="1" x14ac:dyDescent="0.3">
      <c r="A73" s="146"/>
      <c r="B73" s="40" t="s">
        <v>403</v>
      </c>
      <c r="C73" s="60"/>
      <c r="D73" s="60"/>
      <c r="E73" s="60"/>
      <c r="F73" s="60"/>
      <c r="G73" s="60"/>
      <c r="H73" s="60"/>
      <c r="I73" s="60"/>
    </row>
    <row r="74" spans="1:9" ht="36" customHeight="1" x14ac:dyDescent="0.3">
      <c r="A74" s="146"/>
      <c r="B74" s="308" t="s">
        <v>404</v>
      </c>
      <c r="C74" s="308"/>
      <c r="D74" s="308"/>
      <c r="E74" s="308"/>
      <c r="F74" s="308"/>
      <c r="G74" s="308"/>
      <c r="H74" s="308"/>
      <c r="I74" s="308"/>
    </row>
  </sheetData>
  <protectedRanges>
    <protectedRange sqref="D4:I5 E8:I9" name="Est Production and Price"/>
  </protectedRanges>
  <mergeCells count="7">
    <mergeCell ref="B72:I72"/>
    <mergeCell ref="B74:I74"/>
    <mergeCell ref="B2:I2"/>
    <mergeCell ref="B62:I62"/>
    <mergeCell ref="B66:I66"/>
    <mergeCell ref="B69:I69"/>
    <mergeCell ref="B71:I71"/>
  </mergeCells>
  <phoneticPr fontId="17" type="noConversion"/>
  <printOptions gridLines="1"/>
  <pageMargins left="0.25" right="0.25" top="0.25" bottom="0.25" header="0.3" footer="0.3"/>
  <pageSetup scale="64" orientation="portrait" r:id="rId1"/>
  <ignoredErrors>
    <ignoredError sqref="D40:H40 I40" formula="1"/>
    <ignoredError sqref="G4:H4 I4 G5:I5 D5:F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24"/>
  <sheetViews>
    <sheetView workbookViewId="0">
      <selection activeCell="B2" sqref="B2:F2"/>
    </sheetView>
  </sheetViews>
  <sheetFormatPr defaultColWidth="9.109375" defaultRowHeight="13.8" x14ac:dyDescent="0.25"/>
  <cols>
    <col min="1" max="1" width="6.6640625" style="9" customWidth="1"/>
    <col min="2" max="2" width="15.44140625" style="9" customWidth="1"/>
    <col min="3" max="3" width="15.33203125" style="9" customWidth="1"/>
    <col min="4" max="6" width="15.6640625" style="9" customWidth="1"/>
    <col min="7" max="7" width="9.109375" style="9"/>
    <col min="8" max="8" width="12.44140625" style="9" bestFit="1" customWidth="1"/>
    <col min="9" max="16384" width="9.109375" style="9"/>
  </cols>
  <sheetData>
    <row r="2" spans="1:14" ht="63" customHeight="1" x14ac:dyDescent="0.3">
      <c r="B2" s="309" t="s">
        <v>489</v>
      </c>
      <c r="C2" s="309"/>
      <c r="D2" s="309"/>
      <c r="E2" s="309"/>
      <c r="F2" s="309"/>
      <c r="G2" s="28"/>
      <c r="H2" s="29"/>
    </row>
    <row r="3" spans="1:14" ht="33" customHeight="1" x14ac:dyDescent="0.25">
      <c r="A3" s="30"/>
      <c r="B3" s="222" t="s">
        <v>82</v>
      </c>
      <c r="C3" s="222" t="s">
        <v>83</v>
      </c>
      <c r="D3" s="197" t="s">
        <v>438</v>
      </c>
      <c r="E3" s="197" t="s">
        <v>486</v>
      </c>
      <c r="F3" s="197" t="s">
        <v>487</v>
      </c>
    </row>
    <row r="4" spans="1:14" ht="14.4" x14ac:dyDescent="0.3">
      <c r="A4" s="30"/>
      <c r="B4" s="31">
        <v>73</v>
      </c>
      <c r="C4" s="184">
        <f>B4*$E$21</f>
        <v>58.400000000000006</v>
      </c>
      <c r="D4" s="18">
        <f>$C4*C$14-((SUM('Cosmic Crisp-Angled V Budget'!$I$10:$I$19,'App9. Data for tables'!$H$59*$B4,'App9. Data for tables'!$H$60*$B4,'App9. Data for tables'!$H$61*$B4,'App9. Data for tables'!$H$67*$B4,'Cosmic Crisp-Angled V Budget'!$I$24:$I$25))*((1+$C$17)*(1+0.75*$C$18)))-'Cosmic Crisp-Angled V Budget'!$I$56</f>
        <v>-15012.158776170041</v>
      </c>
      <c r="E4" s="18">
        <f>$C4*C$15-((SUM('Cosmic Crisp-Angled V Budget'!$I$10:$I$19,'App9. Data for tables'!$H$59*$B4,'App9. Data for tables'!$H$60*$B4,'App9. Data for tables'!$H$61*$B4,'App9. Data for tables'!$H$67*$B4,'Cosmic Crisp-Angled V Budget'!$I$24:$I$25))*((1+$C$17)*(1+0.75*$C$18)))-'Cosmic Crisp-Angled V Budget'!$I$56</f>
        <v>-7449.3587761700383</v>
      </c>
      <c r="F4" s="186">
        <f>$C4*C$16-((SUM('Cosmic Crisp-Angled V Budget'!$I$10:$I$19,'App9. Data for tables'!$H$59*$B4,'App9. Data for tables'!$H$60*$B4,'App9. Data for tables'!$H$61*$B4,'App9. Data for tables'!$H$67*$B4,'Cosmic Crisp-Angled V Budget'!$I$24:$I$25))*((1+$C$17)*(1+0.75*$C$18)))-'Cosmic Crisp-Angled V Budget'!$I$56</f>
        <v>1193.8412238299588</v>
      </c>
      <c r="H4" s="61"/>
      <c r="I4" s="61"/>
      <c r="J4" s="61"/>
      <c r="K4" s="61"/>
      <c r="L4" s="61"/>
      <c r="M4" s="61"/>
      <c r="N4" s="55"/>
    </row>
    <row r="5" spans="1:14" ht="19.95" customHeight="1" x14ac:dyDescent="0.25">
      <c r="B5" s="31">
        <v>78</v>
      </c>
      <c r="C5" s="184">
        <f>B5*$E$21</f>
        <v>62.400000000000006</v>
      </c>
      <c r="D5" s="18">
        <f>$C5*C$14-((SUM('Cosmic Crisp-Angled V Budget'!$I$10:$I$19,'App9. Data for tables'!$H$59*$B5,'App9. Data for tables'!$H$60*$B5,'App9. Data for tables'!$H$61*$B5,'App9. Data for tables'!$H$67*$B5,'Cosmic Crisp-Angled V Budget'!$I$24:$I$25))*((1+$C$17)*(1+0.75*$C$18)))-'Cosmic Crisp-Angled V Budget'!$I$56</f>
        <v>-14800.26658867004</v>
      </c>
      <c r="E5" s="18">
        <f>$C5*C$15-((SUM('Cosmic Crisp-Angled V Budget'!$I$10:$I$19,'App9. Data for tables'!$H$59*$B5,'App9. Data for tables'!$H$60*$B5,'App9. Data for tables'!$H$61*$B5,'App9. Data for tables'!$H$67*$B5,'Cosmic Crisp-Angled V Budget'!$I$24:$I$25))*((1+$C$17)*(1+0.75*$C$18)))-'Cosmic Crisp-Angled V Budget'!$I$56</f>
        <v>-6719.4665886700368</v>
      </c>
      <c r="F5" s="186">
        <f>$C5*C$16-((SUM('Cosmic Crisp-Angled V Budget'!$I$10:$I$19,'App9. Data for tables'!$H$59*$B5,'App9. Data for tables'!$H$60*$B5,'App9. Data for tables'!$H$61*$B5,'App9. Data for tables'!$H$67*$B5,'Cosmic Crisp-Angled V Budget'!$I$24:$I$25))*((1+$C$17)*(1+0.75*$C$18)))-'Cosmic Crisp-Angled V Budget'!$I$56</f>
        <v>2515.7334113299603</v>
      </c>
      <c r="H5" s="32"/>
    </row>
    <row r="6" spans="1:14" ht="19.95" customHeight="1" x14ac:dyDescent="0.25">
      <c r="B6" s="31">
        <v>83</v>
      </c>
      <c r="C6" s="184">
        <f>B6*$E$21</f>
        <v>66.400000000000006</v>
      </c>
      <c r="D6" s="18">
        <f>$C6*C$14-((SUM('Cosmic Crisp-Angled V Budget'!$I$10:$I$19,'App9. Data for tables'!$H$59*$B6,'App9. Data for tables'!$H$60*$B6,'App9. Data for tables'!$H$61*$B6,'App9. Data for tables'!$H$67*$B6,'Cosmic Crisp-Angled V Budget'!$I$24:$I$25))*((1+$C$17)*(1+0.75*$C$18)))-'Cosmic Crisp-Angled V Budget'!$I$56</f>
        <v>-14588.374401170038</v>
      </c>
      <c r="E6" s="18">
        <f>$C6*C$15-((SUM('Cosmic Crisp-Angled V Budget'!$I$10:$I$19,'App9. Data for tables'!$H$59*$B6,'App9. Data for tables'!$H$60*$B6,'App9. Data for tables'!$H$61*$B6,'App9. Data for tables'!$H$67*$B6,'Cosmic Crisp-Angled V Budget'!$I$24:$I$25))*((1+$C$17)*(1+0.75*$C$18)))-'Cosmic Crisp-Angled V Budget'!$I$56</f>
        <v>-5989.5744011700353</v>
      </c>
      <c r="F6" s="186">
        <f>$C6*C$16-((SUM('Cosmic Crisp-Angled V Budget'!$I$10:$I$19,'App9. Data for tables'!$H$59*$B6,'App9. Data for tables'!$H$60*$B6,'App9. Data for tables'!$H$61*$B6,'App9. Data for tables'!$H$67*$B6,'Cosmic Crisp-Angled V Budget'!$I$24:$I$25))*((1+$C$17)*(1+0.75*$C$18)))-'Cosmic Crisp-Angled V Budget'!$I$56</f>
        <v>3837.6255988299617</v>
      </c>
    </row>
    <row r="7" spans="1:14" ht="19.95" customHeight="1" x14ac:dyDescent="0.25">
      <c r="B7" s="31">
        <v>88</v>
      </c>
      <c r="C7" s="184">
        <f t="shared" ref="C7:C8" si="0">B7*$E$21</f>
        <v>70.400000000000006</v>
      </c>
      <c r="D7" s="18">
        <f>$C7*C$14-((SUM('Cosmic Crisp-Angled V Budget'!$I$10:$I$19,'App9. Data for tables'!$H$59*$B7,'App9. Data for tables'!$H$60*$B7,'App9. Data for tables'!$H$61*$B7,'App9. Data for tables'!$H$67*$B7,'Cosmic Crisp-Angled V Budget'!$I$24:$I$25))*((1+$C$17)*(1+0.75*$C$18)))-'Cosmic Crisp-Angled V Budget'!$I$56</f>
        <v>-14376.482213670044</v>
      </c>
      <c r="E7" s="18">
        <f>$C7*C$15-((SUM('Cosmic Crisp-Angled V Budget'!$I$10:$I$19,'App9. Data for tables'!$H$59*$B7,'App9. Data for tables'!$H$60*$B7,'App9. Data for tables'!$H$61*$B7,'App9. Data for tables'!$H$67*$B7,'Cosmic Crisp-Angled V Budget'!$I$24:$I$25))*((1+$C$17)*(1+0.75*$C$18)))-'Cosmic Crisp-Angled V Budget'!$I$56</f>
        <v>-5259.6822136700412</v>
      </c>
      <c r="F7" s="186">
        <f>$C7*C$16-((SUM('Cosmic Crisp-Angled V Budget'!$I$10:$I$19,'App9. Data for tables'!$H$59*$B7,'App9. Data for tables'!$H$60*$B7,'App9. Data for tables'!$H$61*$B7,'App9. Data for tables'!$H$67*$B7,'Cosmic Crisp-Angled V Budget'!$I$24:$I$25))*((1+$C$17)*(1+0.75*$C$18)))-'Cosmic Crisp-Angled V Budget'!$I$56</f>
        <v>5159.5177863299559</v>
      </c>
    </row>
    <row r="8" spans="1:14" ht="19.95" customHeight="1" x14ac:dyDescent="0.25">
      <c r="B8" s="31">
        <v>93</v>
      </c>
      <c r="C8" s="184">
        <f t="shared" si="0"/>
        <v>74.400000000000006</v>
      </c>
      <c r="D8" s="18">
        <f>$C8*C$14-((SUM('Cosmic Crisp-Angled V Budget'!$I$10:$I$19,'App9. Data for tables'!$H$59*$B8,'App9. Data for tables'!$H$60*$B8,'App9. Data for tables'!$H$61*$B8,'App9. Data for tables'!$H$67*$B8,'Cosmic Crisp-Angled V Budget'!$I$24:$I$25))*((1+$C$17)*(1+0.75*$C$18)))-'Cosmic Crisp-Angled V Budget'!$I$56</f>
        <v>-14164.590026170043</v>
      </c>
      <c r="E8" s="18">
        <f>$C8*C$15-((SUM('Cosmic Crisp-Angled V Budget'!$I$10:$I$19,'App9. Data for tables'!$H$59*$B8,'App9. Data for tables'!$H$60*$B8,'App9. Data for tables'!$H$61*$B8,'App9. Data for tables'!$H$67*$B8,'Cosmic Crisp-Angled V Budget'!$I$24:$I$25))*((1+$C$17)*(1+0.75*$C$18)))-'Cosmic Crisp-Angled V Budget'!$I$56</f>
        <v>-4529.7900261700397</v>
      </c>
      <c r="F8" s="186">
        <f>$C8*C$16-((SUM('Cosmic Crisp-Angled V Budget'!$I$10:$I$19,'App9. Data for tables'!$H$59*$B8,'App9. Data for tables'!$H$60*$B8,'App9. Data for tables'!$H$61*$B8,'App9. Data for tables'!$H$67*$B8,'Cosmic Crisp-Angled V Budget'!$I$24:$I$25))*((1+$C$17)*(1+0.75*$C$18)))-'Cosmic Crisp-Angled V Budget'!$I$56</f>
        <v>6481.4099738299574</v>
      </c>
    </row>
    <row r="9" spans="1:14" ht="19.95" customHeight="1" x14ac:dyDescent="0.25">
      <c r="B9" s="223">
        <v>97</v>
      </c>
      <c r="C9" s="224">
        <f>B9*$E$21</f>
        <v>77.600000000000009</v>
      </c>
      <c r="D9" s="162">
        <f>$C9*C$14-((SUM('Cosmic Crisp-Angled V Budget'!$I$10:$I$19,'App9. Data for tables'!$H$59*$B9,'App9. Data for tables'!$H$60*$B9,'App9. Data for tables'!$H$61*$B9,'App9. Data for tables'!$H$67*$B9,'Cosmic Crisp-Angled V Budget'!$I$24:$I$25))*((1+$C$17)*(1+0.75*$C$18)))-'Cosmic Crisp-Angled V Budget'!$I$56</f>
        <v>-13995.076276170044</v>
      </c>
      <c r="E9" s="162">
        <f>$C9*C$15-((SUM('Cosmic Crisp-Angled V Budget'!$I$10:$I$19,'App9. Data for tables'!$H$59*$B9,'App9. Data for tables'!$H$60*$B9,'App9. Data for tables'!$H$61*$B9,'App9. Data for tables'!$H$67*$B9,'Cosmic Crisp-Angled V Budget'!$I$24:$I$25))*((1+$C$17)*(1+0.75*$C$18)))-'Cosmic Crisp-Angled V Budget'!$I$56</f>
        <v>-3945.87627617004</v>
      </c>
      <c r="F9" s="225">
        <f>$C9*C$16-((SUM('Cosmic Crisp-Angled V Budget'!$I$10:$I$19,'App9. Data for tables'!$H$59*$B9,'App9. Data for tables'!$H$60*$B9,'App9. Data for tables'!$H$61*$B9,'App9. Data for tables'!$H$67*$B9,'Cosmic Crisp-Angled V Budget'!$I$24:$I$25))*((1+$C$17)*(1+0.75*$C$18)))-'Cosmic Crisp-Angled V Budget'!$I$56</f>
        <v>7538.9237238299629</v>
      </c>
    </row>
    <row r="10" spans="1:14" s="44" customFormat="1" ht="15" customHeight="1" x14ac:dyDescent="0.3">
      <c r="B10" s="41" t="s">
        <v>81</v>
      </c>
      <c r="C10" s="41"/>
      <c r="D10" s="42"/>
      <c r="E10" s="45"/>
      <c r="F10" s="45"/>
    </row>
    <row r="11" spans="1:14" s="44" customFormat="1" ht="19.95" customHeight="1" x14ac:dyDescent="0.3">
      <c r="B11" s="41" t="s">
        <v>361</v>
      </c>
      <c r="C11" s="41"/>
      <c r="D11" s="42"/>
      <c r="E11" s="45"/>
      <c r="F11" s="45"/>
      <c r="G11" s="45"/>
      <c r="H11" s="175"/>
    </row>
    <row r="12" spans="1:14" s="44" customFormat="1" ht="19.95" customHeight="1" x14ac:dyDescent="0.3">
      <c r="B12" s="41" t="s">
        <v>362</v>
      </c>
      <c r="C12" s="41"/>
      <c r="D12" s="42"/>
      <c r="E12" s="45"/>
      <c r="F12" s="45"/>
      <c r="G12" s="45"/>
      <c r="H12" s="175"/>
    </row>
    <row r="13" spans="1:14" s="44" customFormat="1" ht="30" customHeight="1" x14ac:dyDescent="0.3">
      <c r="B13" s="310" t="s">
        <v>433</v>
      </c>
      <c r="C13" s="310"/>
      <c r="D13" s="310"/>
      <c r="E13" s="310"/>
      <c r="F13" s="310"/>
      <c r="G13" s="45"/>
      <c r="H13" s="175"/>
    </row>
    <row r="14" spans="1:14" s="44" customFormat="1" ht="18" customHeight="1" x14ac:dyDescent="0.3">
      <c r="B14" s="41" t="s">
        <v>434</v>
      </c>
      <c r="C14" s="298">
        <v>518</v>
      </c>
      <c r="D14" s="220"/>
      <c r="E14" s="220"/>
      <c r="F14" s="220"/>
      <c r="G14" s="45"/>
      <c r="H14" s="175"/>
    </row>
    <row r="15" spans="1:14" s="44" customFormat="1" ht="18" customHeight="1" x14ac:dyDescent="0.3">
      <c r="B15" s="41" t="s">
        <v>435</v>
      </c>
      <c r="C15" s="298">
        <v>647.5</v>
      </c>
      <c r="D15" s="220"/>
      <c r="E15" s="220"/>
      <c r="F15" s="220"/>
      <c r="G15" s="45"/>
      <c r="H15" s="175"/>
    </row>
    <row r="16" spans="1:14" s="44" customFormat="1" ht="18" customHeight="1" x14ac:dyDescent="0.3">
      <c r="B16" s="41" t="s">
        <v>436</v>
      </c>
      <c r="C16" s="298">
        <v>795.5</v>
      </c>
      <c r="D16" s="220"/>
      <c r="E16" s="220"/>
      <c r="F16" s="220"/>
      <c r="G16" s="45"/>
      <c r="H16" s="175"/>
    </row>
    <row r="17" spans="2:8" s="44" customFormat="1" ht="18" customHeight="1" x14ac:dyDescent="0.3">
      <c r="B17" s="41" t="s">
        <v>84</v>
      </c>
      <c r="C17" s="221">
        <f>'App9. Data for tables'!$H$73</f>
        <v>0.05</v>
      </c>
      <c r="D17" s="220"/>
      <c r="E17" s="220"/>
      <c r="F17" s="220"/>
      <c r="G17" s="45"/>
      <c r="H17" s="175"/>
    </row>
    <row r="18" spans="2:8" s="44" customFormat="1" ht="18" customHeight="1" x14ac:dyDescent="0.3">
      <c r="B18" s="41" t="s">
        <v>85</v>
      </c>
      <c r="C18" s="221">
        <f>'App9. Data for tables'!$H$74</f>
        <v>0.05</v>
      </c>
      <c r="D18" s="220"/>
      <c r="E18" s="220"/>
      <c r="F18" s="220"/>
      <c r="G18" s="45"/>
      <c r="H18" s="175"/>
    </row>
    <row r="19" spans="2:8" s="44" customFormat="1" ht="47.25" customHeight="1" x14ac:dyDescent="0.3">
      <c r="B19" s="307" t="s">
        <v>437</v>
      </c>
      <c r="C19" s="307"/>
      <c r="D19" s="307"/>
      <c r="E19" s="307"/>
      <c r="F19" s="307"/>
    </row>
    <row r="20" spans="2:8" s="44" customFormat="1" ht="29.4" customHeight="1" x14ac:dyDescent="0.3">
      <c r="B20" s="307" t="s">
        <v>86</v>
      </c>
      <c r="C20" s="307"/>
      <c r="D20" s="307"/>
      <c r="E20" s="307"/>
      <c r="F20" s="307"/>
    </row>
    <row r="21" spans="2:8" s="44" customFormat="1" ht="15" customHeight="1" x14ac:dyDescent="0.3">
      <c r="B21" s="46" t="s">
        <v>87</v>
      </c>
      <c r="C21" s="46"/>
      <c r="D21" s="46"/>
      <c r="E21" s="43">
        <v>0.8</v>
      </c>
    </row>
    <row r="22" spans="2:8" ht="14.4" x14ac:dyDescent="0.3">
      <c r="B22" s="12"/>
      <c r="C22" s="12"/>
      <c r="D22" s="61"/>
      <c r="E22" s="61"/>
      <c r="F22" s="61"/>
    </row>
    <row r="23" spans="2:8" ht="14.4" x14ac:dyDescent="0.3">
      <c r="D23" s="61"/>
      <c r="E23" s="61"/>
      <c r="F23" s="61"/>
      <c r="G23" s="61"/>
    </row>
    <row r="24" spans="2:8" x14ac:dyDescent="0.25">
      <c r="D24" s="32"/>
    </row>
  </sheetData>
  <protectedRanges>
    <protectedRange sqref="C4:C9 D10 C14:C18" name="Price and Yield"/>
    <protectedRange sqref="D11:D18" name="Price and Yield_1"/>
    <protectedRange sqref="B4:B9" name="Price and Yield_2"/>
  </protectedRanges>
  <mergeCells count="4">
    <mergeCell ref="B19:F19"/>
    <mergeCell ref="B2:F2"/>
    <mergeCell ref="B20:F20"/>
    <mergeCell ref="B13:F13"/>
  </mergeCells>
  <phoneticPr fontId="17" type="noConversion"/>
  <pageMargins left="0.7" right="0.7" top="0.75" bottom="0.75" header="0.3" footer="0.3"/>
  <pageSetup orientation="portrait" r:id="rId1"/>
  <ignoredErrors>
    <ignoredError sqref="C9 C4:C6 C7:C8"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0"/>
  <sheetViews>
    <sheetView workbookViewId="0">
      <selection activeCell="B2" sqref="B2:F2"/>
    </sheetView>
  </sheetViews>
  <sheetFormatPr defaultColWidth="9.109375" defaultRowHeight="13.8" x14ac:dyDescent="0.3"/>
  <cols>
    <col min="1" max="1" width="9.109375" style="54"/>
    <col min="2" max="2" width="39.33203125" style="54" customWidth="1"/>
    <col min="3" max="3" width="14.33203125" style="54" customWidth="1"/>
    <col min="4" max="4" width="19.21875" style="54" customWidth="1"/>
    <col min="5" max="5" width="19.88671875" style="54" customWidth="1"/>
    <col min="6" max="6" width="6.77734375" style="54" customWidth="1"/>
    <col min="7" max="16384" width="9.109375" style="54"/>
  </cols>
  <sheetData>
    <row r="2" spans="2:12" ht="41.4" customHeight="1" x14ac:dyDescent="0.3">
      <c r="B2" s="311" t="s">
        <v>490</v>
      </c>
      <c r="C2" s="311"/>
      <c r="D2" s="311"/>
      <c r="E2" s="311"/>
      <c r="F2" s="311"/>
    </row>
    <row r="3" spans="2:12" ht="36.6" customHeight="1" x14ac:dyDescent="0.3">
      <c r="B3" s="226" t="s">
        <v>443</v>
      </c>
      <c r="C3" s="177" t="s">
        <v>88</v>
      </c>
      <c r="D3" s="177" t="s">
        <v>444</v>
      </c>
      <c r="E3" s="177" t="s">
        <v>445</v>
      </c>
      <c r="F3" s="227" t="s">
        <v>243</v>
      </c>
    </row>
    <row r="4" spans="2:12" ht="19.95" customHeight="1" x14ac:dyDescent="0.3">
      <c r="B4" s="47" t="s">
        <v>439</v>
      </c>
      <c r="C4" s="73">
        <f>'Cosmic Crisp-Angled V Budget'!$I$28</f>
        <v>42006.289106249998</v>
      </c>
      <c r="D4" s="73">
        <f>C4/$C$8</f>
        <v>541.31815858569576</v>
      </c>
      <c r="E4" s="73">
        <f>D4/$C$9</f>
        <v>29.260441004632202</v>
      </c>
      <c r="F4" s="189" t="s">
        <v>367</v>
      </c>
    </row>
    <row r="5" spans="2:12" ht="19.95" customHeight="1" x14ac:dyDescent="0.3">
      <c r="B5" s="47" t="s">
        <v>440</v>
      </c>
      <c r="C5" s="74">
        <f>'Cosmic Crisp-Angled V Budget'!I34</f>
        <v>42996.289106249998</v>
      </c>
      <c r="D5" s="73">
        <f>C5/$C$8</f>
        <v>554.07589054445873</v>
      </c>
      <c r="E5" s="73">
        <f>D5/$C$9</f>
        <v>29.95004813753831</v>
      </c>
      <c r="F5" s="189" t="s">
        <v>89</v>
      </c>
      <c r="G5" s="53"/>
      <c r="H5" s="53"/>
      <c r="I5" s="53"/>
      <c r="J5" s="53"/>
      <c r="K5" s="53"/>
      <c r="L5" s="53"/>
    </row>
    <row r="6" spans="2:12" ht="19.95" customHeight="1" x14ac:dyDescent="0.3">
      <c r="B6" s="15" t="s">
        <v>441</v>
      </c>
      <c r="C6" s="74">
        <f>C5+SUM('Cosmic Crisp-Angled V Budget'!I36:I42)</f>
        <v>44837.083772916667</v>
      </c>
      <c r="D6" s="73">
        <f>C6/$C$8</f>
        <v>577.79747130047247</v>
      </c>
      <c r="E6" s="73">
        <f>D6/$C$9</f>
        <v>31.232295745971484</v>
      </c>
      <c r="F6" s="189" t="s">
        <v>90</v>
      </c>
      <c r="G6" s="53"/>
      <c r="H6" s="53"/>
      <c r="I6" s="53"/>
      <c r="J6" s="53"/>
      <c r="K6" s="53"/>
      <c r="L6" s="53"/>
    </row>
    <row r="7" spans="2:12" ht="19.95" customHeight="1" x14ac:dyDescent="0.3">
      <c r="B7" s="149" t="s">
        <v>442</v>
      </c>
      <c r="C7" s="228">
        <f>C6+SUM('Cosmic Crisp-Angled V Budget'!I43:I50,'Cosmic Crisp-Angled V Budget'!I52:I53)</f>
        <v>54191.876276170042</v>
      </c>
      <c r="D7" s="228">
        <f>C7/$C$8</f>
        <v>698.34892108466545</v>
      </c>
      <c r="E7" s="228">
        <f>D7/$C$9</f>
        <v>37.748590328900832</v>
      </c>
      <c r="F7" s="229" t="s">
        <v>92</v>
      </c>
      <c r="G7" s="53"/>
      <c r="H7" s="53"/>
      <c r="I7" s="53"/>
      <c r="J7" s="53"/>
      <c r="K7" s="53"/>
      <c r="L7" s="53"/>
    </row>
    <row r="8" spans="2:12" x14ac:dyDescent="0.3">
      <c r="B8" s="75" t="s">
        <v>93</v>
      </c>
      <c r="C8" s="76">
        <f>'Cosmic Crisp-Angled V Budget'!$I$4</f>
        <v>77.600000000000009</v>
      </c>
    </row>
    <row r="9" spans="2:12" x14ac:dyDescent="0.3">
      <c r="B9" s="75" t="s">
        <v>363</v>
      </c>
      <c r="C9" s="176">
        <f>'App9. Data for tables'!$H$64</f>
        <v>18.5</v>
      </c>
    </row>
    <row r="10" spans="2:12" x14ac:dyDescent="0.3">
      <c r="B10" s="75" t="s">
        <v>366</v>
      </c>
    </row>
    <row r="11" spans="2:12" ht="57.6" customHeight="1" x14ac:dyDescent="0.3">
      <c r="B11" s="312" t="s">
        <v>373</v>
      </c>
      <c r="C11" s="312"/>
      <c r="D11" s="312"/>
      <c r="E11" s="312"/>
      <c r="F11" s="312"/>
    </row>
    <row r="12" spans="2:12" ht="18.75" customHeight="1" x14ac:dyDescent="0.3">
      <c r="B12" s="312" t="s">
        <v>365</v>
      </c>
      <c r="C12" s="312"/>
      <c r="D12" s="312"/>
      <c r="E12" s="312"/>
      <c r="F12" s="312"/>
    </row>
    <row r="13" spans="2:12" ht="30" customHeight="1" x14ac:dyDescent="0.3">
      <c r="B13" s="312" t="s">
        <v>374</v>
      </c>
      <c r="C13" s="312"/>
      <c r="D13" s="312"/>
      <c r="E13" s="312"/>
      <c r="F13" s="312"/>
    </row>
    <row r="14" spans="2:12" ht="18.75" customHeight="1" x14ac:dyDescent="0.3">
      <c r="B14" s="312" t="s">
        <v>375</v>
      </c>
      <c r="C14" s="312"/>
      <c r="D14" s="312"/>
      <c r="E14" s="312"/>
      <c r="F14" s="312"/>
      <c r="G14" s="53"/>
      <c r="H14" s="53"/>
      <c r="I14" s="53"/>
      <c r="J14" s="53"/>
      <c r="K14" s="53"/>
      <c r="L14" s="53"/>
    </row>
    <row r="15" spans="2:12" ht="18.75" customHeight="1" x14ac:dyDescent="0.3">
      <c r="B15" s="312" t="s">
        <v>376</v>
      </c>
      <c r="C15" s="312"/>
      <c r="D15" s="312"/>
      <c r="E15" s="312"/>
      <c r="F15" s="312"/>
      <c r="G15" s="53"/>
      <c r="H15" s="53"/>
      <c r="I15" s="53"/>
      <c r="J15" s="53"/>
      <c r="K15" s="53"/>
      <c r="L15" s="53"/>
    </row>
    <row r="16" spans="2:12" ht="18.75" customHeight="1" x14ac:dyDescent="0.3">
      <c r="B16" s="312" t="s">
        <v>364</v>
      </c>
      <c r="C16" s="312"/>
      <c r="D16" s="312"/>
      <c r="E16" s="312"/>
      <c r="F16" s="312"/>
    </row>
    <row r="17" spans="2:12" ht="36.450000000000003" customHeight="1" x14ac:dyDescent="0.3">
      <c r="B17" s="312" t="s">
        <v>377</v>
      </c>
      <c r="C17" s="312"/>
      <c r="D17" s="312"/>
      <c r="E17" s="312"/>
      <c r="F17" s="312"/>
      <c r="G17" s="53"/>
      <c r="H17" s="53"/>
      <c r="I17" s="53"/>
      <c r="J17" s="53"/>
      <c r="K17" s="53"/>
      <c r="L17" s="53"/>
    </row>
    <row r="18" spans="2:12" x14ac:dyDescent="0.3">
      <c r="B18" s="75"/>
    </row>
    <row r="19" spans="2:12" x14ac:dyDescent="0.3">
      <c r="B19" s="77"/>
    </row>
    <row r="20" spans="2:12" x14ac:dyDescent="0.3">
      <c r="B20" s="75"/>
    </row>
  </sheetData>
  <protectedRanges>
    <protectedRange sqref="C8" name="Yield"/>
  </protectedRanges>
  <mergeCells count="8">
    <mergeCell ref="B2:F2"/>
    <mergeCell ref="B17:F17"/>
    <mergeCell ref="B12:F12"/>
    <mergeCell ref="B11:F11"/>
    <mergeCell ref="B13:F13"/>
    <mergeCell ref="B14:F14"/>
    <mergeCell ref="B15:F15"/>
    <mergeCell ref="B16:F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8"/>
  <sheetViews>
    <sheetView workbookViewId="0">
      <selection activeCell="C6" sqref="C6"/>
    </sheetView>
  </sheetViews>
  <sheetFormatPr defaultColWidth="9.109375" defaultRowHeight="14.4" x14ac:dyDescent="0.3"/>
  <cols>
    <col min="1" max="1" width="6.6640625" style="47" customWidth="1"/>
    <col min="2" max="2" width="26.44140625" style="47" customWidth="1"/>
    <col min="3" max="3" width="13.6640625" style="47" customWidth="1"/>
    <col min="4" max="7" width="12.6640625" style="47" customWidth="1"/>
    <col min="8" max="8" width="16.33203125" style="47" customWidth="1"/>
    <col min="9" max="9" width="3.6640625" style="47" customWidth="1"/>
    <col min="10" max="15" width="9.109375" style="80"/>
    <col min="16" max="16384" width="9.109375" style="47"/>
  </cols>
  <sheetData>
    <row r="2" spans="1:15" ht="42.75" customHeight="1" x14ac:dyDescent="0.3">
      <c r="B2" s="313" t="s">
        <v>446</v>
      </c>
      <c r="C2" s="313"/>
      <c r="D2" s="313"/>
      <c r="E2" s="313"/>
      <c r="F2" s="313"/>
      <c r="G2" s="313"/>
      <c r="H2" s="313"/>
    </row>
    <row r="3" spans="1:15" ht="46.8" customHeight="1" x14ac:dyDescent="0.3">
      <c r="A3" s="81"/>
      <c r="B3" s="150" t="s">
        <v>447</v>
      </c>
      <c r="C3" s="204" t="s">
        <v>41</v>
      </c>
      <c r="D3" s="204" t="s">
        <v>42</v>
      </c>
      <c r="E3" s="204" t="s">
        <v>43</v>
      </c>
      <c r="F3" s="204" t="s">
        <v>44</v>
      </c>
      <c r="G3" s="204" t="s">
        <v>45</v>
      </c>
      <c r="H3" s="163" t="s">
        <v>408</v>
      </c>
      <c r="I3" s="82"/>
      <c r="O3" s="47"/>
    </row>
    <row r="4" spans="1:15" x14ac:dyDescent="0.25">
      <c r="B4" s="79" t="s">
        <v>94</v>
      </c>
      <c r="C4" s="231">
        <f>'App5. Estab Costs'!$H$4</f>
        <v>220000</v>
      </c>
      <c r="D4" s="230">
        <v>0</v>
      </c>
      <c r="E4" s="230">
        <v>0</v>
      </c>
      <c r="F4" s="230">
        <v>0</v>
      </c>
      <c r="G4" s="230">
        <v>0</v>
      </c>
      <c r="H4" s="230">
        <v>0</v>
      </c>
    </row>
    <row r="5" spans="1:15" x14ac:dyDescent="0.25">
      <c r="B5" s="79" t="s">
        <v>40</v>
      </c>
      <c r="C5" s="231">
        <f>'App5. Estab Costs'!$H$11</f>
        <v>130000</v>
      </c>
      <c r="D5" s="230">
        <v>0</v>
      </c>
      <c r="E5" s="230">
        <v>0</v>
      </c>
      <c r="F5" s="230">
        <v>0</v>
      </c>
      <c r="G5" s="230">
        <v>0</v>
      </c>
      <c r="H5" s="230">
        <v>0</v>
      </c>
    </row>
    <row r="6" spans="1:15" x14ac:dyDescent="0.25">
      <c r="B6" s="62" t="s">
        <v>95</v>
      </c>
      <c r="C6" s="230">
        <v>0</v>
      </c>
      <c r="D6" s="230">
        <v>0</v>
      </c>
      <c r="E6" s="230">
        <v>0</v>
      </c>
      <c r="F6" s="231">
        <f>'App3&amp;4. Int&amp;Dep'!C5</f>
        <v>100000</v>
      </c>
      <c r="G6" s="230">
        <v>0</v>
      </c>
      <c r="H6" s="230">
        <v>0</v>
      </c>
    </row>
    <row r="7" spans="1:15" x14ac:dyDescent="0.25">
      <c r="B7" s="79" t="s">
        <v>66</v>
      </c>
      <c r="C7" s="231">
        <f>'App5. Estab Costs'!$H$12+'App5. Estab Costs'!$H$13</f>
        <v>48000</v>
      </c>
      <c r="D7" s="230">
        <v>0</v>
      </c>
      <c r="E7" s="230">
        <v>0</v>
      </c>
      <c r="F7" s="230">
        <v>0</v>
      </c>
      <c r="G7" s="230">
        <v>0</v>
      </c>
      <c r="H7" s="230">
        <v>0</v>
      </c>
    </row>
    <row r="8" spans="1:15" x14ac:dyDescent="0.25">
      <c r="B8" s="79" t="s">
        <v>68</v>
      </c>
      <c r="C8" s="231">
        <f>'App5. Estab Costs'!$H$14</f>
        <v>9000</v>
      </c>
      <c r="D8" s="230">
        <v>0</v>
      </c>
      <c r="E8" s="230">
        <v>0</v>
      </c>
      <c r="F8" s="230">
        <v>0</v>
      </c>
      <c r="G8" s="230">
        <v>0</v>
      </c>
      <c r="H8" s="230">
        <v>0</v>
      </c>
    </row>
    <row r="9" spans="1:15" x14ac:dyDescent="0.25">
      <c r="B9" s="79" t="s">
        <v>69</v>
      </c>
      <c r="C9" s="231">
        <f>'App5. Estab Costs'!$H$15</f>
        <v>30000</v>
      </c>
      <c r="D9" s="230">
        <v>0</v>
      </c>
      <c r="E9" s="230">
        <v>0</v>
      </c>
      <c r="F9" s="230">
        <v>0</v>
      </c>
      <c r="G9" s="230">
        <v>0</v>
      </c>
      <c r="H9" s="230">
        <v>0</v>
      </c>
    </row>
    <row r="10" spans="1:15" x14ac:dyDescent="0.25">
      <c r="B10" s="79" t="s">
        <v>73</v>
      </c>
      <c r="C10" s="231">
        <f>'App5. Estab Costs'!$H$24</f>
        <v>40158.400000000001</v>
      </c>
      <c r="D10" s="230">
        <v>0</v>
      </c>
      <c r="E10" s="230">
        <v>0</v>
      </c>
      <c r="F10" s="230">
        <v>0</v>
      </c>
      <c r="G10" s="230">
        <v>0</v>
      </c>
      <c r="H10" s="230">
        <v>0</v>
      </c>
    </row>
    <row r="11" spans="1:15" ht="16.8" x14ac:dyDescent="0.25">
      <c r="B11" s="79" t="s">
        <v>96</v>
      </c>
      <c r="C11" s="231">
        <f>('Cosmic Crisp-Angled V Budget'!D28+'Cosmic Crisp-Angled V Budget'!D30+'Cosmic Crisp-Angled V Budget'!D31+'Cosmic Crisp-Angled V Budget'!D32+'Cosmic Crisp-Angled V Budget'!D52)*'App9. Data for tables'!$C$78</f>
        <v>314778.04162500001</v>
      </c>
      <c r="D11" s="231">
        <f>('Cosmic Crisp-Angled V Budget'!E28+'Cosmic Crisp-Angled V Budget'!E30+'Cosmic Crisp-Angled V Budget'!E31+'Cosmic Crisp-Angled V Budget'!E32+'Cosmic Crisp-Angled V Budget'!E52)*'App9. Data for tables'!$D$78</f>
        <v>59676.244499999993</v>
      </c>
      <c r="E11" s="232">
        <f>('Cosmic Crisp-Angled V Budget'!F28+'Cosmic Crisp-Angled V Budget'!F30+'Cosmic Crisp-Angled V Budget'!F31+'Cosmic Crisp-Angled V Budget'!F32+'Cosmic Crisp-Angled V Budget'!F52)*'App9. Data for tables'!$E$78</f>
        <v>71210.15849999999</v>
      </c>
      <c r="F11" s="231">
        <f>('Cosmic Crisp-Angled V Budget'!G28+'Cosmic Crisp-Angled V Budget'!G30+'Cosmic Crisp-Angled V Budget'!G31+'Cosmic Crisp-Angled V Budget'!G32+'Cosmic Crisp-Angled V Budget'!G52)*'App9. Data for tables'!$F$78</f>
        <v>298520.85225</v>
      </c>
      <c r="G11" s="231">
        <f>('Cosmic Crisp-Angled V Budget'!H28+'Cosmic Crisp-Angled V Budget'!H30+'Cosmic Crisp-Angled V Budget'!H31+'Cosmic Crisp-Angled V Budget'!H32+'Cosmic Crisp-Angled V Budget'!H52)*'App9. Data for tables'!$G$78</f>
        <v>370784.21474999993</v>
      </c>
      <c r="H11" s="231">
        <f>('Cosmic Crisp-Angled V Budget'!I28+'Cosmic Crisp-Angled V Budget'!I30+'Cosmic Crisp-Angled V Budget'!I31+'Cosmic Crisp-Angled V Budget'!I32+'Cosmic Crisp-Angled V Budget'!I52)*'App9. Data for tables'!$H$78</f>
        <v>437462.89106249996</v>
      </c>
    </row>
    <row r="12" spans="1:15" x14ac:dyDescent="0.25">
      <c r="B12" s="83" t="s">
        <v>97</v>
      </c>
      <c r="C12" s="231">
        <f t="shared" ref="C12:H12" si="0">SUM(C4:C11)</f>
        <v>791936.44162499998</v>
      </c>
      <c r="D12" s="231">
        <f t="shared" si="0"/>
        <v>59676.244499999993</v>
      </c>
      <c r="E12" s="232">
        <f t="shared" si="0"/>
        <v>71210.15849999999</v>
      </c>
      <c r="F12" s="231">
        <f t="shared" si="0"/>
        <v>398520.85225</v>
      </c>
      <c r="G12" s="231">
        <f t="shared" si="0"/>
        <v>370784.21474999993</v>
      </c>
      <c r="H12" s="231">
        <f t="shared" si="0"/>
        <v>437462.89106249996</v>
      </c>
    </row>
    <row r="13" spans="1:15" x14ac:dyDescent="0.25">
      <c r="C13" s="231"/>
      <c r="D13" s="231"/>
      <c r="E13" s="232"/>
      <c r="F13" s="231"/>
      <c r="G13" s="231"/>
      <c r="H13" s="231"/>
    </row>
    <row r="14" spans="1:15" x14ac:dyDescent="0.25">
      <c r="B14" s="83" t="s">
        <v>98</v>
      </c>
      <c r="C14" s="231">
        <f>'Cosmic Crisp-Angled V Budget'!D7*'App9. Data for tables'!$C$78</f>
        <v>0</v>
      </c>
      <c r="D14" s="231">
        <f>'Cosmic Crisp-Angled V Budget'!E7*'App9. Data for tables'!$D$78</f>
        <v>0</v>
      </c>
      <c r="E14" s="232">
        <f>'Cosmic Crisp-Angled V Budget'!F7*'App9. Data for tables'!$E$78</f>
        <v>0</v>
      </c>
      <c r="F14" s="231">
        <f>'Cosmic Crisp-Angled V Budget'!G7*'App9. Data for tables'!$F$78</f>
        <v>315980.00000000006</v>
      </c>
      <c r="G14" s="231">
        <f>'Cosmic Crisp-Angled V Budget'!H7*'App9. Data for tables'!$G$78</f>
        <v>409220</v>
      </c>
      <c r="H14" s="231">
        <f>'Cosmic Crisp-Angled V Budget'!I7*'App9. Data for tables'!$H$78</f>
        <v>502460.00000000006</v>
      </c>
    </row>
    <row r="15" spans="1:15" x14ac:dyDescent="0.25">
      <c r="C15" s="231"/>
      <c r="D15" s="231"/>
      <c r="E15" s="232"/>
      <c r="F15" s="231"/>
      <c r="G15" s="231"/>
      <c r="H15" s="231"/>
    </row>
    <row r="16" spans="1:15" x14ac:dyDescent="0.25">
      <c r="B16" s="150" t="s">
        <v>99</v>
      </c>
      <c r="C16" s="233">
        <f t="shared" ref="C16:H16" si="1">C12-C14</f>
        <v>791936.44162499998</v>
      </c>
      <c r="D16" s="233">
        <f t="shared" si="1"/>
        <v>59676.244499999993</v>
      </c>
      <c r="E16" s="234">
        <f t="shared" si="1"/>
        <v>71210.15849999999</v>
      </c>
      <c r="F16" s="233">
        <f t="shared" si="1"/>
        <v>82540.852249999938</v>
      </c>
      <c r="G16" s="235">
        <f t="shared" si="1"/>
        <v>-38435.785250000074</v>
      </c>
      <c r="H16" s="235">
        <f t="shared" si="1"/>
        <v>-64997.108937500103</v>
      </c>
    </row>
    <row r="17" spans="2:9" x14ac:dyDescent="0.3">
      <c r="B17" s="84" t="s">
        <v>81</v>
      </c>
    </row>
    <row r="18" spans="2:9" ht="15.6" x14ac:dyDescent="0.3">
      <c r="B18" s="40" t="s">
        <v>100</v>
      </c>
    </row>
    <row r="19" spans="2:9" x14ac:dyDescent="0.3">
      <c r="B19" s="40" t="s">
        <v>101</v>
      </c>
      <c r="F19" s="85"/>
      <c r="G19" s="85"/>
      <c r="H19" s="85"/>
    </row>
    <row r="20" spans="2:9" x14ac:dyDescent="0.3">
      <c r="C20" s="39"/>
      <c r="D20" s="39"/>
      <c r="E20" s="39"/>
      <c r="F20" s="39"/>
      <c r="G20" s="39"/>
      <c r="H20" s="39"/>
      <c r="I20" s="39"/>
    </row>
    <row r="21" spans="2:9" x14ac:dyDescent="0.3">
      <c r="F21" s="85"/>
      <c r="G21" s="85"/>
      <c r="H21" s="85"/>
    </row>
    <row r="22" spans="2:9" x14ac:dyDescent="0.3">
      <c r="F22" s="85"/>
      <c r="G22" s="85"/>
      <c r="H22" s="85"/>
    </row>
    <row r="23" spans="2:9" x14ac:dyDescent="0.3">
      <c r="F23" s="85"/>
      <c r="G23" s="85"/>
      <c r="H23" s="85"/>
    </row>
    <row r="24" spans="2:9" x14ac:dyDescent="0.3">
      <c r="F24" s="85"/>
      <c r="G24" s="85"/>
      <c r="H24" s="85"/>
    </row>
    <row r="25" spans="2:9" x14ac:dyDescent="0.3">
      <c r="F25" s="85"/>
      <c r="G25" s="85"/>
      <c r="H25" s="85"/>
    </row>
    <row r="26" spans="2:9" x14ac:dyDescent="0.3">
      <c r="F26" s="85"/>
      <c r="G26" s="85"/>
      <c r="H26" s="85"/>
    </row>
    <row r="27" spans="2:9" x14ac:dyDescent="0.3">
      <c r="F27" s="85"/>
      <c r="G27" s="85"/>
      <c r="H27" s="85"/>
    </row>
    <row r="28" spans="2:9" x14ac:dyDescent="0.3">
      <c r="F28" s="85"/>
      <c r="G28" s="85"/>
      <c r="H28" s="85"/>
    </row>
  </sheetData>
  <mergeCells count="1">
    <mergeCell ref="B2:H2"/>
  </mergeCells>
  <phoneticPr fontId="17"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election activeCell="A3" sqref="A3:XFD3"/>
    </sheetView>
  </sheetViews>
  <sheetFormatPr defaultColWidth="9.109375" defaultRowHeight="14.4" x14ac:dyDescent="0.3"/>
  <cols>
    <col min="1" max="1" width="9.109375" style="4"/>
    <col min="2" max="2" width="32" style="2" customWidth="1"/>
    <col min="3" max="3" width="15.6640625" style="2" customWidth="1"/>
    <col min="4" max="6" width="16.6640625" style="2" customWidth="1"/>
    <col min="7" max="7" width="9.109375" style="2"/>
    <col min="8" max="16384" width="9.109375" style="4"/>
  </cols>
  <sheetData>
    <row r="2" spans="2:7" ht="39.75" customHeight="1" x14ac:dyDescent="0.3">
      <c r="B2" s="313" t="s">
        <v>448</v>
      </c>
      <c r="C2" s="313"/>
      <c r="D2" s="313"/>
      <c r="E2" s="313"/>
      <c r="F2" s="313"/>
      <c r="G2" s="3"/>
    </row>
    <row r="3" spans="2:7" ht="30.6" x14ac:dyDescent="0.3">
      <c r="B3" s="236" t="s">
        <v>449</v>
      </c>
      <c r="C3" s="236" t="s">
        <v>102</v>
      </c>
      <c r="D3" s="151" t="s">
        <v>103</v>
      </c>
      <c r="E3" s="151" t="s">
        <v>104</v>
      </c>
      <c r="F3" s="151" t="s">
        <v>105</v>
      </c>
      <c r="G3" s="1"/>
    </row>
    <row r="4" spans="2:7" x14ac:dyDescent="0.3">
      <c r="B4" s="35" t="s">
        <v>106</v>
      </c>
      <c r="C4" s="35"/>
      <c r="D4" s="23">
        <v>150000</v>
      </c>
      <c r="E4" s="24">
        <v>1</v>
      </c>
      <c r="F4" s="5">
        <f t="shared" ref="F4:F15" si="0">D4*E4</f>
        <v>150000</v>
      </c>
      <c r="G4" s="1"/>
    </row>
    <row r="5" spans="2:7" ht="17.399999999999999" x14ac:dyDescent="0.3">
      <c r="B5" s="35" t="s">
        <v>107</v>
      </c>
      <c r="C5" s="35"/>
      <c r="D5" s="23">
        <v>150000</v>
      </c>
      <c r="E5" s="24">
        <v>1</v>
      </c>
      <c r="F5" s="5">
        <f t="shared" si="0"/>
        <v>150000</v>
      </c>
      <c r="G5" s="1"/>
    </row>
    <row r="6" spans="2:7" x14ac:dyDescent="0.3">
      <c r="B6" s="35" t="s">
        <v>108</v>
      </c>
      <c r="C6" s="35" t="s">
        <v>109</v>
      </c>
      <c r="D6" s="23">
        <v>50000</v>
      </c>
      <c r="E6" s="24">
        <v>5</v>
      </c>
      <c r="F6" s="5">
        <f t="shared" si="0"/>
        <v>250000</v>
      </c>
      <c r="G6" s="1"/>
    </row>
    <row r="7" spans="2:7" x14ac:dyDescent="0.3">
      <c r="B7" s="35" t="s">
        <v>110</v>
      </c>
      <c r="C7" s="35" t="s">
        <v>111</v>
      </c>
      <c r="D7" s="23">
        <v>27500</v>
      </c>
      <c r="E7" s="24">
        <v>2</v>
      </c>
      <c r="F7" s="5">
        <f t="shared" si="0"/>
        <v>55000</v>
      </c>
      <c r="G7" s="1"/>
    </row>
    <row r="8" spans="2:7" x14ac:dyDescent="0.3">
      <c r="B8" s="35" t="s">
        <v>112</v>
      </c>
      <c r="C8" s="35" t="s">
        <v>113</v>
      </c>
      <c r="D8" s="23">
        <v>8000</v>
      </c>
      <c r="E8" s="24">
        <v>3</v>
      </c>
      <c r="F8" s="5">
        <f t="shared" si="0"/>
        <v>24000</v>
      </c>
      <c r="G8" s="1"/>
    </row>
    <row r="9" spans="2:7" x14ac:dyDescent="0.3">
      <c r="B9" s="35" t="s">
        <v>114</v>
      </c>
      <c r="C9" s="35"/>
      <c r="D9" s="23">
        <v>30000</v>
      </c>
      <c r="E9" s="24">
        <v>5</v>
      </c>
      <c r="F9" s="5">
        <f t="shared" si="0"/>
        <v>150000</v>
      </c>
      <c r="G9" s="1"/>
    </row>
    <row r="10" spans="2:7" x14ac:dyDescent="0.3">
      <c r="B10" s="35" t="s">
        <v>115</v>
      </c>
      <c r="C10" s="35"/>
      <c r="D10" s="23">
        <v>7000</v>
      </c>
      <c r="E10" s="24">
        <v>1</v>
      </c>
      <c r="F10" s="5">
        <f t="shared" si="0"/>
        <v>7000</v>
      </c>
      <c r="G10" s="1"/>
    </row>
    <row r="11" spans="2:7" x14ac:dyDescent="0.3">
      <c r="B11" s="35" t="s">
        <v>116</v>
      </c>
      <c r="C11" s="35" t="s">
        <v>117</v>
      </c>
      <c r="D11" s="23">
        <v>7500</v>
      </c>
      <c r="E11" s="24">
        <v>1</v>
      </c>
      <c r="F11" s="5">
        <f t="shared" si="0"/>
        <v>7500</v>
      </c>
      <c r="G11" s="1"/>
    </row>
    <row r="12" spans="2:7" x14ac:dyDescent="0.3">
      <c r="B12" s="35" t="s">
        <v>118</v>
      </c>
      <c r="C12" s="35"/>
      <c r="D12" s="23">
        <v>9000</v>
      </c>
      <c r="E12" s="24">
        <v>1</v>
      </c>
      <c r="F12" s="5">
        <f t="shared" si="0"/>
        <v>9000</v>
      </c>
      <c r="G12" s="1"/>
    </row>
    <row r="13" spans="2:7" x14ac:dyDescent="0.3">
      <c r="B13" s="35" t="s">
        <v>119</v>
      </c>
      <c r="C13" s="35"/>
      <c r="D13" s="23">
        <v>30000</v>
      </c>
      <c r="E13" s="24">
        <v>2</v>
      </c>
      <c r="F13" s="5">
        <f>D13*E13</f>
        <v>60000</v>
      </c>
      <c r="G13" s="1"/>
    </row>
    <row r="14" spans="2:7" x14ac:dyDescent="0.3">
      <c r="B14" s="36" t="s">
        <v>120</v>
      </c>
      <c r="C14" s="36"/>
      <c r="D14" s="23">
        <v>7500</v>
      </c>
      <c r="E14" s="24">
        <v>3</v>
      </c>
      <c r="F14" s="5">
        <f t="shared" si="0"/>
        <v>22500</v>
      </c>
      <c r="G14" s="1"/>
    </row>
    <row r="15" spans="2:7" x14ac:dyDescent="0.3">
      <c r="B15" s="36" t="s">
        <v>121</v>
      </c>
      <c r="C15" s="36" t="s">
        <v>122</v>
      </c>
      <c r="D15" s="23">
        <v>45000</v>
      </c>
      <c r="E15" s="24">
        <v>1</v>
      </c>
      <c r="F15" s="5">
        <f t="shared" si="0"/>
        <v>45000</v>
      </c>
      <c r="G15" s="1"/>
    </row>
    <row r="16" spans="2:7" x14ac:dyDescent="0.3">
      <c r="B16" s="36" t="s">
        <v>123</v>
      </c>
      <c r="C16" s="36" t="s">
        <v>124</v>
      </c>
      <c r="D16" s="23">
        <v>130</v>
      </c>
      <c r="E16" s="24">
        <v>100</v>
      </c>
      <c r="F16" s="5">
        <f>D16*E16</f>
        <v>13000</v>
      </c>
      <c r="G16" s="1"/>
    </row>
    <row r="17" spans="2:7" x14ac:dyDescent="0.3">
      <c r="B17" s="36" t="s">
        <v>125</v>
      </c>
      <c r="C17" s="36"/>
      <c r="D17" s="23">
        <v>60000</v>
      </c>
      <c r="E17" s="24">
        <v>3</v>
      </c>
      <c r="F17" s="5">
        <f>D17*E17</f>
        <v>180000</v>
      </c>
      <c r="G17" s="1"/>
    </row>
    <row r="18" spans="2:7" ht="17.399999999999999" x14ac:dyDescent="0.3">
      <c r="B18" s="36" t="s">
        <v>126</v>
      </c>
      <c r="C18" s="36"/>
      <c r="D18" s="23">
        <v>50000</v>
      </c>
      <c r="E18" s="24">
        <v>1</v>
      </c>
      <c r="F18" s="5">
        <f>D18*E18</f>
        <v>50000</v>
      </c>
      <c r="G18" s="1"/>
    </row>
    <row r="19" spans="2:7" ht="18" thickBot="1" x14ac:dyDescent="0.35">
      <c r="B19" s="36" t="s">
        <v>127</v>
      </c>
      <c r="C19" s="36"/>
      <c r="D19" s="23">
        <v>15000</v>
      </c>
      <c r="E19" s="24">
        <v>1</v>
      </c>
      <c r="F19" s="22">
        <f>D19*E19</f>
        <v>15000</v>
      </c>
      <c r="G19" s="1"/>
    </row>
    <row r="20" spans="2:7" ht="15" thickTop="1" x14ac:dyDescent="0.3">
      <c r="B20" s="95" t="s">
        <v>91</v>
      </c>
      <c r="C20" s="95"/>
      <c r="D20" s="152"/>
      <c r="E20" s="153"/>
      <c r="F20" s="154">
        <f>SUM(F4:F19)</f>
        <v>1188000</v>
      </c>
      <c r="G20" s="1"/>
    </row>
    <row r="21" spans="2:7" x14ac:dyDescent="0.3">
      <c r="B21" s="12" t="s">
        <v>128</v>
      </c>
      <c r="C21" s="12"/>
      <c r="D21" s="1"/>
      <c r="E21" s="1"/>
      <c r="F21" s="1"/>
      <c r="G21" s="1"/>
    </row>
    <row r="22" spans="2:7" s="48" customFormat="1" ht="28.95" customHeight="1" x14ac:dyDescent="0.3">
      <c r="B22" s="307" t="s">
        <v>129</v>
      </c>
      <c r="C22" s="307"/>
      <c r="D22" s="307"/>
      <c r="E22" s="307"/>
      <c r="F22" s="307"/>
      <c r="G22" s="47"/>
    </row>
    <row r="23" spans="2:7" s="48" customFormat="1" x14ac:dyDescent="0.3">
      <c r="B23" s="40" t="s">
        <v>130</v>
      </c>
      <c r="C23" s="40"/>
      <c r="D23" s="47"/>
      <c r="E23" s="47"/>
      <c r="F23" s="47"/>
      <c r="G23" s="47"/>
    </row>
    <row r="24" spans="2:7" s="48" customFormat="1" ht="29.4" customHeight="1" x14ac:dyDescent="0.3">
      <c r="B24" s="307" t="s">
        <v>131</v>
      </c>
      <c r="C24" s="307"/>
      <c r="D24" s="307"/>
      <c r="E24" s="307"/>
      <c r="F24" s="307"/>
      <c r="G24" s="47"/>
    </row>
    <row r="25" spans="2:7" s="48" customFormat="1" ht="30.6" customHeight="1" x14ac:dyDescent="0.3">
      <c r="B25" s="307" t="s">
        <v>132</v>
      </c>
      <c r="C25" s="307"/>
      <c r="D25" s="307"/>
      <c r="E25" s="307"/>
      <c r="F25" s="307"/>
      <c r="G25" s="47"/>
    </row>
    <row r="26" spans="2:7" s="48" customFormat="1" x14ac:dyDescent="0.3">
      <c r="B26" s="40" t="s">
        <v>133</v>
      </c>
      <c r="C26" s="40"/>
      <c r="D26" s="47"/>
      <c r="E26" s="47"/>
      <c r="F26" s="47"/>
      <c r="G26" s="47"/>
    </row>
    <row r="28" spans="2:7" x14ac:dyDescent="0.3">
      <c r="B28" s="4"/>
      <c r="C28" s="4"/>
      <c r="D28" s="6"/>
      <c r="E28" s="6"/>
      <c r="F28" s="6"/>
      <c r="G28" s="6"/>
    </row>
  </sheetData>
  <protectedRanges>
    <protectedRange sqref="D4:E19" name="Price and No. of Units_1"/>
  </protectedRanges>
  <mergeCells count="4">
    <mergeCell ref="B2:F2"/>
    <mergeCell ref="B22:F22"/>
    <mergeCell ref="B24:F24"/>
    <mergeCell ref="B25:F25"/>
  </mergeCells>
  <phoneticPr fontId="17"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topLeftCell="A14" workbookViewId="0">
      <selection activeCell="C28" sqref="C28:F28"/>
    </sheetView>
  </sheetViews>
  <sheetFormatPr defaultColWidth="9.109375" defaultRowHeight="13.8" x14ac:dyDescent="0.3"/>
  <cols>
    <col min="1" max="1" width="6.6640625" style="49" customWidth="1"/>
    <col min="2" max="2" width="31.6640625" style="49" customWidth="1"/>
    <col min="3" max="3" width="15.44140625" style="49" customWidth="1"/>
    <col min="4" max="4" width="14.44140625" style="49" customWidth="1"/>
    <col min="5" max="5" width="14.5546875" style="49" customWidth="1"/>
    <col min="6" max="6" width="14.44140625" style="49" customWidth="1"/>
    <col min="7" max="7" width="17.6640625" style="49" customWidth="1"/>
    <col min="8" max="8" width="5.109375" style="49" customWidth="1"/>
    <col min="9" max="9" width="9.109375" style="49"/>
    <col min="10" max="10" width="10.44140625" style="49" bestFit="1" customWidth="1"/>
    <col min="11" max="16384" width="9.109375" style="49"/>
  </cols>
  <sheetData>
    <row r="2" spans="2:8" ht="45.75" customHeight="1" x14ac:dyDescent="0.3">
      <c r="B2" s="313" t="s">
        <v>450</v>
      </c>
      <c r="C2" s="313"/>
      <c r="D2" s="313"/>
      <c r="E2" s="313"/>
      <c r="F2" s="313"/>
      <c r="G2" s="313"/>
      <c r="H2" s="78"/>
    </row>
    <row r="3" spans="2:8" s="60" customFormat="1" ht="30.6" x14ac:dyDescent="0.3">
      <c r="B3" s="237" t="s">
        <v>451</v>
      </c>
      <c r="C3" s="238" t="s">
        <v>134</v>
      </c>
      <c r="D3" s="238" t="s">
        <v>135</v>
      </c>
      <c r="E3" s="238" t="s">
        <v>136</v>
      </c>
      <c r="F3" s="238" t="s">
        <v>137</v>
      </c>
      <c r="G3" s="238" t="s">
        <v>138</v>
      </c>
    </row>
    <row r="4" spans="2:8" ht="16.8" x14ac:dyDescent="0.3">
      <c r="B4" s="47" t="s">
        <v>139</v>
      </c>
      <c r="C4" s="187">
        <f>'App5. Estab Costs'!$H$12+'App5. Estab Costs'!$H$13</f>
        <v>48000</v>
      </c>
      <c r="D4" s="187">
        <v>0</v>
      </c>
      <c r="E4" s="187">
        <f>'App9. Data for tables'!$H$78</f>
        <v>10</v>
      </c>
      <c r="F4" s="188">
        <f>((C4+D4)/2)*$C$13</f>
        <v>1200</v>
      </c>
      <c r="G4" s="188">
        <f>F4/E4</f>
        <v>120</v>
      </c>
      <c r="H4" s="155"/>
    </row>
    <row r="5" spans="2:8" ht="16.8" x14ac:dyDescent="0.3">
      <c r="B5" s="90" t="s">
        <v>140</v>
      </c>
      <c r="C5" s="187">
        <f>'App9. Data for tables'!$F$21*'App9. Data for tables'!$F$78</f>
        <v>100000</v>
      </c>
      <c r="D5" s="187">
        <v>0</v>
      </c>
      <c r="E5" s="187">
        <f>'App9. Data for tables'!$H$78</f>
        <v>10</v>
      </c>
      <c r="F5" s="188">
        <f>((C5+D5)/2)*$C$13</f>
        <v>2500</v>
      </c>
      <c r="G5" s="188">
        <f>F5/E5</f>
        <v>250</v>
      </c>
      <c r="H5" s="155"/>
    </row>
    <row r="6" spans="2:8" x14ac:dyDescent="0.3">
      <c r="B6" s="47" t="s">
        <v>141</v>
      </c>
      <c r="C6" s="187">
        <f>'App5. Estab Costs'!$H$4</f>
        <v>220000</v>
      </c>
      <c r="D6" s="187" t="s">
        <v>142</v>
      </c>
      <c r="E6" s="187">
        <f>'App9. Data for tables'!$H$77</f>
        <v>11</v>
      </c>
      <c r="F6" s="188">
        <f>C6*$C$13</f>
        <v>11000</v>
      </c>
      <c r="G6" s="188">
        <f>F6/E6</f>
        <v>1000</v>
      </c>
      <c r="H6" s="54"/>
    </row>
    <row r="7" spans="2:8" ht="16.8" x14ac:dyDescent="0.3">
      <c r="B7" s="47" t="s">
        <v>143</v>
      </c>
      <c r="C7" s="187">
        <f>'App2. Mach Etc Req'!$F$20</f>
        <v>1188000</v>
      </c>
      <c r="D7" s="187">
        <f>'App7. Salv Value &amp; Dep Calc'!F20</f>
        <v>88800</v>
      </c>
      <c r="E7" s="187">
        <f>'App9. Data for tables'!$H$80</f>
        <v>300</v>
      </c>
      <c r="F7" s="188">
        <f>((C7+D7)/2)*$C$13</f>
        <v>31920</v>
      </c>
      <c r="G7" s="188">
        <f>F7/E7</f>
        <v>106.4</v>
      </c>
      <c r="H7" s="54"/>
    </row>
    <row r="8" spans="2:8" ht="16.8" x14ac:dyDescent="0.3">
      <c r="B8" s="54" t="s">
        <v>144</v>
      </c>
      <c r="C8" s="188">
        <f>'App5. Estab Costs'!$H$14</f>
        <v>9000</v>
      </c>
      <c r="D8" s="189">
        <v>0</v>
      </c>
      <c r="E8" s="187">
        <f>'App9. Data for tables'!$H$78</f>
        <v>10</v>
      </c>
      <c r="F8" s="188">
        <f>((C8+D8)/2)*$C$13</f>
        <v>225</v>
      </c>
      <c r="G8" s="188">
        <f t="shared" ref="G8:G10" si="0">F8/E8</f>
        <v>22.5</v>
      </c>
      <c r="H8" s="54"/>
    </row>
    <row r="9" spans="2:8" ht="16.8" x14ac:dyDescent="0.3">
      <c r="B9" s="47" t="s">
        <v>145</v>
      </c>
      <c r="C9" s="187">
        <f>'App5. Estab Costs'!$H$15</f>
        <v>30000</v>
      </c>
      <c r="D9" s="187">
        <v>0</v>
      </c>
      <c r="E9" s="187">
        <f>'App9. Data for tables'!$H$78</f>
        <v>10</v>
      </c>
      <c r="F9" s="188">
        <f>((C9+D9)/2)*$C$13</f>
        <v>750</v>
      </c>
      <c r="G9" s="188">
        <f t="shared" si="0"/>
        <v>75</v>
      </c>
      <c r="H9" s="54"/>
    </row>
    <row r="10" spans="2:8" ht="16.8" x14ac:dyDescent="0.3">
      <c r="B10" s="54" t="s">
        <v>146</v>
      </c>
      <c r="C10" s="188">
        <f>'App5. Estab Costs'!$H$11</f>
        <v>130000</v>
      </c>
      <c r="D10" s="189">
        <v>0</v>
      </c>
      <c r="E10" s="187">
        <f>'App9. Data for tables'!$H$78</f>
        <v>10</v>
      </c>
      <c r="F10" s="188">
        <f>((C10+D10)/2)*$C$13</f>
        <v>3250</v>
      </c>
      <c r="G10" s="188">
        <f t="shared" si="0"/>
        <v>325</v>
      </c>
      <c r="H10" s="54"/>
    </row>
    <row r="11" spans="2:8" ht="16.8" x14ac:dyDescent="0.3">
      <c r="B11" s="156" t="s">
        <v>147</v>
      </c>
      <c r="C11" s="190">
        <f>'App5. Estab Costs'!$H$24</f>
        <v>40158.400000000001</v>
      </c>
      <c r="D11" s="190">
        <v>0</v>
      </c>
      <c r="E11" s="190">
        <f>'App9. Data for tables'!$H$78</f>
        <v>10</v>
      </c>
      <c r="F11" s="191">
        <f>((C11+D11)/2)*$C$13</f>
        <v>1003.96</v>
      </c>
      <c r="G11" s="191">
        <f>F11/E11</f>
        <v>100.396</v>
      </c>
      <c r="H11" s="54"/>
    </row>
    <row r="12" spans="2:8" x14ac:dyDescent="0.3">
      <c r="B12" s="75" t="s">
        <v>81</v>
      </c>
      <c r="C12" s="54"/>
      <c r="D12" s="54"/>
      <c r="E12" s="54"/>
      <c r="F12" s="54"/>
      <c r="G12" s="54"/>
      <c r="H12" s="54"/>
    </row>
    <row r="13" spans="2:8" x14ac:dyDescent="0.3">
      <c r="B13" s="46" t="s">
        <v>148</v>
      </c>
      <c r="C13" s="239">
        <f>'App9. Data for tables'!$C$74</f>
        <v>0.05</v>
      </c>
      <c r="D13" s="54"/>
      <c r="E13" s="54"/>
      <c r="F13" s="54"/>
      <c r="G13" s="54"/>
      <c r="H13" s="54"/>
    </row>
    <row r="14" spans="2:8" x14ac:dyDescent="0.3">
      <c r="B14" s="75" t="s">
        <v>149</v>
      </c>
      <c r="C14" s="157"/>
      <c r="D14" s="54"/>
      <c r="E14" s="54"/>
      <c r="F14" s="54"/>
      <c r="G14" s="158"/>
      <c r="H14" s="54"/>
    </row>
    <row r="15" spans="2:8" s="54" customFormat="1" ht="28.2" customHeight="1" x14ac:dyDescent="0.3">
      <c r="B15" s="312" t="s">
        <v>150</v>
      </c>
      <c r="C15" s="312"/>
      <c r="D15" s="312"/>
      <c r="E15" s="312"/>
      <c r="F15" s="312"/>
      <c r="G15" s="312"/>
    </row>
    <row r="16" spans="2:8" s="54" customFormat="1" ht="42" customHeight="1" x14ac:dyDescent="0.3">
      <c r="B16" s="312" t="s">
        <v>151</v>
      </c>
      <c r="C16" s="312"/>
      <c r="D16" s="312"/>
      <c r="E16" s="312"/>
      <c r="F16" s="312"/>
      <c r="G16" s="312"/>
    </row>
    <row r="17" spans="2:7" s="54" customFormat="1" ht="31.2" customHeight="1" x14ac:dyDescent="0.3">
      <c r="B17" s="312" t="s">
        <v>152</v>
      </c>
      <c r="C17" s="312"/>
      <c r="D17" s="312"/>
      <c r="E17" s="312"/>
      <c r="F17" s="312"/>
      <c r="G17" s="312"/>
    </row>
    <row r="18" spans="2:7" s="54" customFormat="1" ht="19.95" customHeight="1" x14ac:dyDescent="0.3">
      <c r="B18" s="315" t="s">
        <v>452</v>
      </c>
      <c r="C18" s="315"/>
      <c r="D18" s="315"/>
      <c r="E18" s="315"/>
      <c r="F18" s="315"/>
      <c r="G18" s="315"/>
    </row>
    <row r="19" spans="2:7" ht="23.7" customHeight="1" x14ac:dyDescent="0.3">
      <c r="B19" s="54"/>
      <c r="C19" s="54"/>
      <c r="D19" s="54"/>
      <c r="E19" s="54"/>
      <c r="F19" s="54"/>
      <c r="G19" s="54"/>
    </row>
    <row r="20" spans="2:7" ht="42.75" customHeight="1" x14ac:dyDescent="0.3">
      <c r="B20" s="313" t="s">
        <v>453</v>
      </c>
      <c r="C20" s="313"/>
      <c r="D20" s="313"/>
      <c r="E20" s="313"/>
      <c r="F20" s="313"/>
      <c r="G20" s="313"/>
    </row>
    <row r="21" spans="2:7" s="60" customFormat="1" ht="40.200000000000003" customHeight="1" x14ac:dyDescent="0.3">
      <c r="B21" s="237" t="s">
        <v>451</v>
      </c>
      <c r="C21" s="238" t="s">
        <v>134</v>
      </c>
      <c r="D21" s="238" t="s">
        <v>136</v>
      </c>
      <c r="E21" s="238" t="s">
        <v>153</v>
      </c>
      <c r="F21" s="238" t="s">
        <v>154</v>
      </c>
      <c r="G21" s="238" t="s">
        <v>155</v>
      </c>
    </row>
    <row r="22" spans="2:7" x14ac:dyDescent="0.3">
      <c r="B22" s="47" t="s">
        <v>66</v>
      </c>
      <c r="C22" s="188">
        <f>C4</f>
        <v>48000</v>
      </c>
      <c r="D22" s="187">
        <f>'App9. Data for tables'!$H$78</f>
        <v>10</v>
      </c>
      <c r="E22" s="188">
        <f>C22/D22</f>
        <v>4800</v>
      </c>
      <c r="F22" s="192">
        <v>30</v>
      </c>
      <c r="G22" s="188">
        <f>(E22-D4)/F22</f>
        <v>160</v>
      </c>
    </row>
    <row r="23" spans="2:7" x14ac:dyDescent="0.3">
      <c r="B23" s="15" t="s">
        <v>95</v>
      </c>
      <c r="C23" s="188">
        <f>C5</f>
        <v>100000</v>
      </c>
      <c r="D23" s="187">
        <f>'App9. Data for tables'!$H$78</f>
        <v>10</v>
      </c>
      <c r="E23" s="188">
        <f>C23/D23</f>
        <v>10000</v>
      </c>
      <c r="F23" s="192">
        <v>20</v>
      </c>
      <c r="G23" s="188">
        <f>(E23-D5)/F23</f>
        <v>500</v>
      </c>
    </row>
    <row r="24" spans="2:7" x14ac:dyDescent="0.3">
      <c r="B24" s="54" t="s">
        <v>68</v>
      </c>
      <c r="C24" s="188">
        <f>C8</f>
        <v>9000</v>
      </c>
      <c r="D24" s="187">
        <f>'App9. Data for tables'!$H$78</f>
        <v>10</v>
      </c>
      <c r="E24" s="188">
        <f t="shared" ref="E24:E27" si="1">C24/D24</f>
        <v>900</v>
      </c>
      <c r="F24" s="192">
        <v>30</v>
      </c>
      <c r="G24" s="188">
        <f>(E24-D8)/F24</f>
        <v>30</v>
      </c>
    </row>
    <row r="25" spans="2:7" x14ac:dyDescent="0.3">
      <c r="B25" s="47" t="s">
        <v>69</v>
      </c>
      <c r="C25" s="188">
        <f>C9</f>
        <v>30000</v>
      </c>
      <c r="D25" s="187">
        <f>'App9. Data for tables'!$H$78</f>
        <v>10</v>
      </c>
      <c r="E25" s="188">
        <f t="shared" si="1"/>
        <v>3000</v>
      </c>
      <c r="F25" s="192">
        <v>50</v>
      </c>
      <c r="G25" s="188">
        <f>(E25-D9)/F25</f>
        <v>60</v>
      </c>
    </row>
    <row r="26" spans="2:7" x14ac:dyDescent="0.3">
      <c r="B26" s="54" t="s">
        <v>70</v>
      </c>
      <c r="C26" s="188">
        <f>C10</f>
        <v>130000</v>
      </c>
      <c r="D26" s="187">
        <f>'App9. Data for tables'!$H$78</f>
        <v>10</v>
      </c>
      <c r="E26" s="188">
        <f t="shared" si="1"/>
        <v>13000</v>
      </c>
      <c r="F26" s="192">
        <v>20</v>
      </c>
      <c r="G26" s="188">
        <f>(E26-D10)/F26</f>
        <v>650</v>
      </c>
    </row>
    <row r="27" spans="2:7" x14ac:dyDescent="0.3">
      <c r="B27" s="79" t="s">
        <v>73</v>
      </c>
      <c r="C27" s="188">
        <f>C11</f>
        <v>40158.400000000001</v>
      </c>
      <c r="D27" s="187">
        <f>'App9. Data for tables'!$H$78</f>
        <v>10</v>
      </c>
      <c r="E27" s="188">
        <f t="shared" si="1"/>
        <v>4015.84</v>
      </c>
      <c r="F27" s="192">
        <v>30</v>
      </c>
      <c r="G27" s="188">
        <f>(E27-D11)/F27</f>
        <v>133.86133333333333</v>
      </c>
    </row>
    <row r="28" spans="2:7" ht="16.8" x14ac:dyDescent="0.25">
      <c r="B28" s="149" t="s">
        <v>156</v>
      </c>
      <c r="C28" s="299" t="s">
        <v>481</v>
      </c>
      <c r="D28" s="299" t="s">
        <v>481</v>
      </c>
      <c r="E28" s="299" t="s">
        <v>481</v>
      </c>
      <c r="F28" s="300" t="s">
        <v>481</v>
      </c>
      <c r="G28" s="191">
        <f>'App7. Salv Value &amp; Dep Calc'!H20</f>
        <v>306.93333333333334</v>
      </c>
    </row>
    <row r="29" spans="2:7" x14ac:dyDescent="0.3">
      <c r="B29" s="75" t="s">
        <v>81</v>
      </c>
      <c r="C29" s="54"/>
      <c r="D29" s="54"/>
      <c r="E29" s="54"/>
      <c r="F29" s="54"/>
      <c r="G29" s="54"/>
    </row>
    <row r="30" spans="2:7" ht="18.75" customHeight="1" x14ac:dyDescent="0.3">
      <c r="B30" s="314" t="s">
        <v>157</v>
      </c>
      <c r="C30" s="314"/>
      <c r="D30" s="314"/>
      <c r="E30" s="314"/>
      <c r="F30" s="314"/>
      <c r="G30" s="314"/>
    </row>
    <row r="31" spans="2:7" x14ac:dyDescent="0.3">
      <c r="B31" s="75" t="s">
        <v>454</v>
      </c>
      <c r="C31" s="54"/>
      <c r="D31" s="54"/>
      <c r="E31" s="54"/>
      <c r="F31" s="54"/>
      <c r="G31" s="54"/>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7"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29"/>
  <sheetViews>
    <sheetView topLeftCell="B1" workbookViewId="0">
      <selection activeCell="B2" sqref="B2:H2"/>
    </sheetView>
  </sheetViews>
  <sheetFormatPr defaultColWidth="9.109375" defaultRowHeight="13.8" x14ac:dyDescent="0.25"/>
  <cols>
    <col min="1" max="2" width="9.6640625" style="10" customWidth="1"/>
    <col min="3" max="3" width="54.21875" style="14" customWidth="1"/>
    <col min="4" max="4" width="10.88671875" style="93" customWidth="1"/>
    <col min="5" max="5" width="13.33203125" style="93" bestFit="1" customWidth="1"/>
    <col min="6" max="6" width="12.109375" style="93" customWidth="1"/>
    <col min="7" max="7" width="12.6640625" style="93" customWidth="1"/>
    <col min="8" max="8" width="14.44140625" style="93" customWidth="1"/>
    <col min="9" max="9" width="11.44140625" style="9" customWidth="1"/>
    <col min="10" max="16384" width="9.109375" style="10"/>
  </cols>
  <sheetData>
    <row r="2" spans="1:9" ht="39" customHeight="1" x14ac:dyDescent="0.25">
      <c r="A2" s="13"/>
      <c r="B2" s="309" t="s">
        <v>455</v>
      </c>
      <c r="C2" s="309"/>
      <c r="D2" s="309"/>
      <c r="E2" s="309"/>
      <c r="F2" s="309"/>
      <c r="G2" s="309"/>
      <c r="H2" s="309"/>
    </row>
    <row r="3" spans="1:9" s="13" customFormat="1" ht="27.6" x14ac:dyDescent="0.25">
      <c r="B3" s="246" t="s">
        <v>472</v>
      </c>
      <c r="C3" s="247" t="s">
        <v>102</v>
      </c>
      <c r="D3" s="248" t="s">
        <v>158</v>
      </c>
      <c r="E3" s="248" t="s">
        <v>159</v>
      </c>
      <c r="F3" s="248" t="s">
        <v>160</v>
      </c>
      <c r="G3" s="248" t="s">
        <v>136</v>
      </c>
      <c r="H3" s="248" t="s">
        <v>161</v>
      </c>
      <c r="I3" s="9"/>
    </row>
    <row r="4" spans="1:9" ht="18.75" customHeight="1" x14ac:dyDescent="0.25">
      <c r="A4" s="13"/>
      <c r="B4" s="9" t="s">
        <v>162</v>
      </c>
      <c r="C4" s="14" t="s">
        <v>456</v>
      </c>
      <c r="D4" s="253"/>
      <c r="E4" s="253"/>
      <c r="F4" s="250">
        <f>'App9. Data for tables'!$C$8</f>
        <v>20000</v>
      </c>
      <c r="G4" s="249">
        <f>'App9. Data for tables'!$C$77</f>
        <v>11</v>
      </c>
      <c r="H4" s="253">
        <f t="shared" ref="H4:H33" si="0">F4*G4</f>
        <v>220000</v>
      </c>
      <c r="I4" s="51"/>
    </row>
    <row r="5" spans="1:9" x14ac:dyDescent="0.25">
      <c r="A5" s="159"/>
      <c r="B5" s="9" t="s">
        <v>162</v>
      </c>
      <c r="C5" s="14" t="s">
        <v>457</v>
      </c>
      <c r="F5" s="250">
        <f>'App9. Data for tables'!$C$9</f>
        <v>12</v>
      </c>
      <c r="G5" s="249">
        <f>'App9. Data for tables'!$C$78</f>
        <v>10</v>
      </c>
      <c r="H5" s="253">
        <f t="shared" si="0"/>
        <v>120</v>
      </c>
    </row>
    <row r="6" spans="1:9" x14ac:dyDescent="0.25">
      <c r="A6" s="159"/>
      <c r="B6" s="9" t="s">
        <v>162</v>
      </c>
      <c r="C6" s="14" t="s">
        <v>458</v>
      </c>
      <c r="F6" s="250">
        <f>'App9. Data for tables'!$C$10</f>
        <v>1000</v>
      </c>
      <c r="G6" s="249">
        <f>'App9. Data for tables'!$C$78</f>
        <v>10</v>
      </c>
      <c r="H6" s="253">
        <f t="shared" si="0"/>
        <v>10000</v>
      </c>
    </row>
    <row r="7" spans="1:9" x14ac:dyDescent="0.25">
      <c r="A7" s="159"/>
      <c r="B7" s="9" t="s">
        <v>162</v>
      </c>
      <c r="C7" s="14" t="s">
        <v>459</v>
      </c>
      <c r="F7" s="250">
        <f>'App9. Data for tables'!$C$11</f>
        <v>180</v>
      </c>
      <c r="G7" s="249">
        <f>'App9. Data for tables'!$C$78</f>
        <v>10</v>
      </c>
      <c r="H7" s="253">
        <f t="shared" si="0"/>
        <v>1800</v>
      </c>
      <c r="I7" s="51"/>
    </row>
    <row r="8" spans="1:9" x14ac:dyDescent="0.25">
      <c r="A8" s="159"/>
      <c r="B8" s="9" t="s">
        <v>162</v>
      </c>
      <c r="C8" s="14" t="s">
        <v>460</v>
      </c>
      <c r="F8" s="250">
        <f>'App9. Data for tables'!$C$12+('App9. Data for tables'!$C$13*'App9. Data for tables'!$C$14)</f>
        <v>327.79</v>
      </c>
      <c r="G8" s="249">
        <f>'App9. Data for tables'!$C$78</f>
        <v>10</v>
      </c>
      <c r="H8" s="253">
        <f t="shared" si="0"/>
        <v>3277.9</v>
      </c>
    </row>
    <row r="9" spans="1:9" x14ac:dyDescent="0.25">
      <c r="A9" s="13"/>
      <c r="B9" s="9" t="s">
        <v>162</v>
      </c>
      <c r="C9" s="14" t="s">
        <v>461</v>
      </c>
      <c r="D9" s="250">
        <f>'App9. Data for tables'!$C$17</f>
        <v>11.51</v>
      </c>
      <c r="E9" s="249">
        <f>'App9. Data for tables'!$C$79</f>
        <v>1815</v>
      </c>
      <c r="F9" s="253">
        <f>D9*E9</f>
        <v>20890.649999999998</v>
      </c>
      <c r="G9" s="249">
        <f>'App9. Data for tables'!$C$78</f>
        <v>10</v>
      </c>
      <c r="H9" s="253">
        <f t="shared" si="0"/>
        <v>208906.49999999997</v>
      </c>
    </row>
    <row r="10" spans="1:9" x14ac:dyDescent="0.25">
      <c r="A10" s="13"/>
      <c r="B10" s="9" t="s">
        <v>162</v>
      </c>
      <c r="C10" s="14" t="s">
        <v>462</v>
      </c>
      <c r="D10" s="250">
        <f>'App9. Data for tables'!$C$18*'App9. Data for tables'!$C$19</f>
        <v>0.47500000000000003</v>
      </c>
      <c r="E10" s="249">
        <f>'App9. Data for tables'!$C$79</f>
        <v>1815</v>
      </c>
      <c r="F10" s="253">
        <f>D10*E10</f>
        <v>862.12500000000011</v>
      </c>
      <c r="G10" s="249">
        <f>'App9. Data for tables'!$C$78</f>
        <v>10</v>
      </c>
      <c r="H10" s="253">
        <f t="shared" si="0"/>
        <v>8621.2500000000018</v>
      </c>
      <c r="I10" s="51"/>
    </row>
    <row r="11" spans="1:9" x14ac:dyDescent="0.25">
      <c r="A11" s="13"/>
      <c r="B11" s="9" t="s">
        <v>162</v>
      </c>
      <c r="C11" s="257" t="s">
        <v>40</v>
      </c>
      <c r="D11" s="253"/>
      <c r="E11" s="253"/>
      <c r="F11" s="253">
        <f>'App9. Data for tables'!C20</f>
        <v>13000</v>
      </c>
      <c r="G11" s="249">
        <f>'App9. Data for tables'!$C$78</f>
        <v>10</v>
      </c>
      <c r="H11" s="253">
        <f t="shared" si="0"/>
        <v>130000</v>
      </c>
      <c r="I11" s="51"/>
    </row>
    <row r="12" spans="1:9" x14ac:dyDescent="0.25">
      <c r="B12" s="9" t="s">
        <v>162</v>
      </c>
      <c r="C12" s="14" t="s">
        <v>463</v>
      </c>
      <c r="D12" s="250"/>
      <c r="E12" s="37"/>
      <c r="F12" s="253">
        <f>'App9. Data for tables'!$C$23</f>
        <v>3800</v>
      </c>
      <c r="G12" s="249">
        <f>'App9. Data for tables'!$C$78</f>
        <v>10</v>
      </c>
      <c r="H12" s="253">
        <f t="shared" si="0"/>
        <v>38000</v>
      </c>
    </row>
    <row r="13" spans="1:9" x14ac:dyDescent="0.25">
      <c r="B13" s="9" t="s">
        <v>162</v>
      </c>
      <c r="C13" s="14" t="s">
        <v>464</v>
      </c>
      <c r="D13" s="250"/>
      <c r="E13" s="37"/>
      <c r="F13" s="253">
        <f>'App9. Data for tables'!$C$24</f>
        <v>1000</v>
      </c>
      <c r="G13" s="249">
        <f>'App9. Data for tables'!$C$78</f>
        <v>10</v>
      </c>
      <c r="H13" s="253">
        <f t="shared" si="0"/>
        <v>10000</v>
      </c>
      <c r="I13" s="51"/>
    </row>
    <row r="14" spans="1:9" x14ac:dyDescent="0.25">
      <c r="B14" s="9" t="s">
        <v>162</v>
      </c>
      <c r="C14" s="14" t="s">
        <v>163</v>
      </c>
      <c r="D14" s="253"/>
      <c r="E14" s="253"/>
      <c r="F14" s="253">
        <f>'App9. Data for tables'!$C$25+'App9. Data for tables'!$C$26</f>
        <v>900</v>
      </c>
      <c r="G14" s="249">
        <f>'App9. Data for tables'!$C$78</f>
        <v>10</v>
      </c>
      <c r="H14" s="253">
        <f t="shared" si="0"/>
        <v>9000</v>
      </c>
    </row>
    <row r="15" spans="1:9" ht="16.8" x14ac:dyDescent="0.25">
      <c r="B15" s="9" t="s">
        <v>162</v>
      </c>
      <c r="C15" s="14" t="s">
        <v>164</v>
      </c>
      <c r="D15" s="253"/>
      <c r="E15" s="253"/>
      <c r="F15" s="250">
        <f>'App9. Data for tables'!$C$27</f>
        <v>3000</v>
      </c>
      <c r="G15" s="249">
        <f>'App9. Data for tables'!$C$78</f>
        <v>10</v>
      </c>
      <c r="H15" s="253">
        <f t="shared" si="0"/>
        <v>30000</v>
      </c>
    </row>
    <row r="16" spans="1:9" ht="16.8" x14ac:dyDescent="0.25">
      <c r="B16" s="9" t="s">
        <v>162</v>
      </c>
      <c r="C16" s="14" t="s">
        <v>165</v>
      </c>
      <c r="D16" s="250"/>
      <c r="E16" s="249"/>
      <c r="F16" s="253">
        <f>('App9. Data for tables'!$C$28*'App9. Data for tables'!$C$29)+('App9. Data for tables'!$C$30*'App9. Data for tables'!$C$31)</f>
        <v>1733.75</v>
      </c>
      <c r="G16" s="249">
        <f>'App9. Data for tables'!$C$78</f>
        <v>10</v>
      </c>
      <c r="H16" s="253">
        <f t="shared" si="0"/>
        <v>17337.5</v>
      </c>
      <c r="I16" s="51"/>
    </row>
    <row r="17" spans="2:17" ht="16.8" x14ac:dyDescent="0.25">
      <c r="B17" s="9" t="s">
        <v>162</v>
      </c>
      <c r="C17" s="14" t="s">
        <v>166</v>
      </c>
      <c r="D17" s="254"/>
      <c r="E17" s="249"/>
      <c r="F17" s="253">
        <f>('App9. Data for tables'!$C$32*'App9. Data for tables'!$C$33)+('App9. Data for tables'!$C$34*'App9. Data for tables'!$C$35)</f>
        <v>0</v>
      </c>
      <c r="G17" s="249">
        <f>'App9. Data for tables'!$C$78</f>
        <v>10</v>
      </c>
      <c r="H17" s="253">
        <f t="shared" si="0"/>
        <v>0</v>
      </c>
      <c r="I17" s="11"/>
    </row>
    <row r="18" spans="2:17" ht="16.8" x14ac:dyDescent="0.25">
      <c r="B18" s="9" t="s">
        <v>162</v>
      </c>
      <c r="C18" s="14" t="s">
        <v>167</v>
      </c>
      <c r="D18" s="253"/>
      <c r="E18" s="253"/>
      <c r="F18" s="250">
        <f>'App9. Data for tables'!$C$36+('App9. Data for tables'!$C$37*'App9. Data for tables'!$C$38)</f>
        <v>215.57999999999998</v>
      </c>
      <c r="G18" s="249">
        <f>'App9. Data for tables'!$C$78</f>
        <v>10</v>
      </c>
      <c r="H18" s="253">
        <f t="shared" si="0"/>
        <v>2155.7999999999997</v>
      </c>
      <c r="I18" s="52"/>
    </row>
    <row r="19" spans="2:17" ht="16.8" x14ac:dyDescent="0.25">
      <c r="B19" s="9" t="s">
        <v>162</v>
      </c>
      <c r="C19" s="14" t="s">
        <v>465</v>
      </c>
      <c r="D19" s="253"/>
      <c r="E19" s="253"/>
      <c r="F19" s="250">
        <f>'App9. Data for tables'!$C$39</f>
        <v>100</v>
      </c>
      <c r="G19" s="249">
        <f>'App9. Data for tables'!$C$78</f>
        <v>10</v>
      </c>
      <c r="H19" s="253">
        <f t="shared" si="0"/>
        <v>1000</v>
      </c>
      <c r="I19" s="32"/>
    </row>
    <row r="20" spans="2:17" ht="16.8" x14ac:dyDescent="0.25">
      <c r="B20" s="9" t="s">
        <v>162</v>
      </c>
      <c r="C20" s="14" t="s">
        <v>466</v>
      </c>
      <c r="D20" s="253"/>
      <c r="E20" s="253"/>
      <c r="F20" s="250">
        <f>('App9. Data for tables'!$C$40*'App9. Data for tables'!$C$41)</f>
        <v>0</v>
      </c>
      <c r="G20" s="249">
        <f>'App9. Data for tables'!$C$78</f>
        <v>10</v>
      </c>
      <c r="H20" s="253">
        <f t="shared" si="0"/>
        <v>0</v>
      </c>
      <c r="I20" s="32"/>
    </row>
    <row r="21" spans="2:17" x14ac:dyDescent="0.25">
      <c r="B21" s="9" t="s">
        <v>162</v>
      </c>
      <c r="C21" s="14" t="s">
        <v>168</v>
      </c>
      <c r="D21" s="250"/>
      <c r="E21" s="37"/>
      <c r="F21" s="253">
        <f>'App9. Data for tables'!$C$42</f>
        <v>170</v>
      </c>
      <c r="G21" s="249">
        <f>'App9. Data for tables'!$C$78</f>
        <v>10</v>
      </c>
      <c r="H21" s="253">
        <f t="shared" si="0"/>
        <v>1700</v>
      </c>
      <c r="I21" s="52"/>
    </row>
    <row r="22" spans="2:17" x14ac:dyDescent="0.25">
      <c r="B22" s="9" t="s">
        <v>162</v>
      </c>
      <c r="C22" s="14" t="s">
        <v>169</v>
      </c>
      <c r="D22" s="253"/>
      <c r="E22" s="249"/>
      <c r="F22" s="250">
        <f>'App9. Data for tables'!$C$43</f>
        <v>180</v>
      </c>
      <c r="G22" s="249">
        <f>'App9. Data for tables'!$C$78</f>
        <v>10</v>
      </c>
      <c r="H22" s="253">
        <f t="shared" si="0"/>
        <v>1800</v>
      </c>
    </row>
    <row r="23" spans="2:17" ht="16.8" x14ac:dyDescent="0.25">
      <c r="B23" s="9" t="s">
        <v>162</v>
      </c>
      <c r="C23" s="14" t="s">
        <v>170</v>
      </c>
      <c r="D23" s="253"/>
      <c r="E23" s="249"/>
      <c r="F23" s="250">
        <f>('App9. Data for tables'!$C$44*'App9. Data for tables'!$C$45)</f>
        <v>361.27</v>
      </c>
      <c r="G23" s="249">
        <f>'App9. Data for tables'!$C$78</f>
        <v>10</v>
      </c>
      <c r="H23" s="253">
        <f t="shared" si="0"/>
        <v>3612.7</v>
      </c>
    </row>
    <row r="24" spans="2:17" ht="16.8" x14ac:dyDescent="0.25">
      <c r="B24" s="9" t="s">
        <v>162</v>
      </c>
      <c r="C24" s="14" t="s">
        <v>171</v>
      </c>
      <c r="D24" s="250"/>
      <c r="E24" s="250"/>
      <c r="F24" s="250">
        <f>'App9. Data for tables'!$C$48+('App9. Data for tables'!$C$49*'App9. Data for tables'!$C$50)</f>
        <v>4015.84</v>
      </c>
      <c r="G24" s="249">
        <f>'App9. Data for tables'!$C$78</f>
        <v>10</v>
      </c>
      <c r="H24" s="253">
        <f t="shared" si="0"/>
        <v>40158.400000000001</v>
      </c>
    </row>
    <row r="25" spans="2:17" ht="16.8" x14ac:dyDescent="0.25">
      <c r="B25" s="9" t="s">
        <v>162</v>
      </c>
      <c r="C25" s="14" t="s">
        <v>50</v>
      </c>
      <c r="D25" s="253"/>
      <c r="E25" s="253"/>
      <c r="F25" s="250">
        <f>'App9. Data for tables'!$C$51*'App9. Data for tables'!$C$52</f>
        <v>9.9</v>
      </c>
      <c r="G25" s="249">
        <f>'App9. Data for tables'!$C$78</f>
        <v>10</v>
      </c>
      <c r="H25" s="253">
        <f t="shared" si="0"/>
        <v>99</v>
      </c>
    </row>
    <row r="26" spans="2:17" ht="16.8" x14ac:dyDescent="0.25">
      <c r="B26" s="9" t="s">
        <v>162</v>
      </c>
      <c r="C26" s="14" t="s">
        <v>172</v>
      </c>
      <c r="D26" s="253"/>
      <c r="E26" s="249"/>
      <c r="F26" s="250">
        <f>SUM('App9. Data for tables'!$C$53:$C$57)</f>
        <v>360</v>
      </c>
      <c r="G26" s="249">
        <f>'App9. Data for tables'!$C$78</f>
        <v>10</v>
      </c>
      <c r="H26" s="253">
        <f t="shared" si="0"/>
        <v>3600</v>
      </c>
    </row>
    <row r="27" spans="2:17" ht="16.8" x14ac:dyDescent="0.25">
      <c r="B27" s="9" t="s">
        <v>162</v>
      </c>
      <c r="C27" s="14" t="s">
        <v>173</v>
      </c>
      <c r="D27" s="253"/>
      <c r="E27" s="249"/>
      <c r="F27" s="250">
        <f>'App9. Data for tables'!$C$58</f>
        <v>270</v>
      </c>
      <c r="G27" s="249">
        <f>'App9. Data for tables'!$C$78</f>
        <v>10</v>
      </c>
      <c r="H27" s="253">
        <f t="shared" si="0"/>
        <v>2700</v>
      </c>
      <c r="J27" s="13"/>
      <c r="K27" s="13"/>
      <c r="L27" s="13"/>
      <c r="M27" s="13"/>
      <c r="N27" s="13"/>
      <c r="O27" s="13"/>
      <c r="P27" s="13"/>
      <c r="Q27" s="13"/>
    </row>
    <row r="28" spans="2:17" ht="16.8" x14ac:dyDescent="0.25">
      <c r="B28" s="9" t="s">
        <v>162</v>
      </c>
      <c r="C28" s="14" t="s">
        <v>174</v>
      </c>
      <c r="D28" s="250"/>
      <c r="E28" s="37"/>
      <c r="F28" s="253">
        <f>'App9. Data for tables'!$C$68</f>
        <v>300</v>
      </c>
      <c r="G28" s="249">
        <f>'App9. Data for tables'!$C$78</f>
        <v>10</v>
      </c>
      <c r="H28" s="253">
        <f t="shared" si="0"/>
        <v>3000</v>
      </c>
      <c r="I28" s="52"/>
      <c r="J28" s="13"/>
      <c r="K28" s="13"/>
      <c r="L28" s="13"/>
      <c r="M28" s="13"/>
      <c r="N28" s="13"/>
      <c r="O28" s="13"/>
      <c r="P28" s="13"/>
      <c r="Q28" s="13"/>
    </row>
    <row r="29" spans="2:17" x14ac:dyDescent="0.25">
      <c r="B29" s="9" t="s">
        <v>162</v>
      </c>
      <c r="C29" s="14" t="s">
        <v>59</v>
      </c>
      <c r="D29" s="253"/>
      <c r="E29" s="249"/>
      <c r="F29" s="250">
        <f>'App9. Data for tables'!$C$69</f>
        <v>190</v>
      </c>
      <c r="G29" s="249">
        <f>'App9. Data for tables'!$C$78</f>
        <v>10</v>
      </c>
      <c r="H29" s="253">
        <f t="shared" si="0"/>
        <v>1900</v>
      </c>
      <c r="J29" s="13"/>
      <c r="K29" s="13"/>
      <c r="L29" s="13"/>
      <c r="M29" s="13"/>
      <c r="N29" s="13"/>
      <c r="O29" s="13"/>
      <c r="P29" s="13"/>
      <c r="Q29" s="13"/>
    </row>
    <row r="30" spans="2:17" x14ac:dyDescent="0.25">
      <c r="B30" s="9" t="s">
        <v>162</v>
      </c>
      <c r="C30" s="14" t="s">
        <v>60</v>
      </c>
      <c r="D30" s="253"/>
      <c r="E30" s="249"/>
      <c r="F30" s="250">
        <f>'App9. Data for tables'!$C$70</f>
        <v>200</v>
      </c>
      <c r="G30" s="249">
        <f>'App9. Data for tables'!$C$78</f>
        <v>10</v>
      </c>
      <c r="H30" s="253">
        <f t="shared" si="0"/>
        <v>2000</v>
      </c>
      <c r="I30" s="51"/>
      <c r="J30" s="13"/>
      <c r="K30" s="13"/>
      <c r="L30" s="13"/>
      <c r="M30" s="13"/>
      <c r="N30" s="13"/>
      <c r="O30" s="13"/>
      <c r="P30" s="13"/>
      <c r="Q30" s="13"/>
    </row>
    <row r="31" spans="2:17" x14ac:dyDescent="0.25">
      <c r="B31" s="9" t="s">
        <v>162</v>
      </c>
      <c r="C31" s="14" t="s">
        <v>175</v>
      </c>
      <c r="D31" s="253"/>
      <c r="E31" s="249"/>
      <c r="F31" s="250">
        <f>'App9. Data for tables'!$C$71</f>
        <v>600</v>
      </c>
      <c r="G31" s="249">
        <f>'App9. Data for tables'!$C$78</f>
        <v>10</v>
      </c>
      <c r="H31" s="253">
        <f t="shared" si="0"/>
        <v>6000</v>
      </c>
      <c r="J31" s="13"/>
      <c r="K31" s="13"/>
      <c r="L31" s="13"/>
      <c r="M31" s="13"/>
      <c r="N31" s="13"/>
      <c r="O31" s="13"/>
      <c r="P31" s="13"/>
      <c r="Q31" s="13"/>
    </row>
    <row r="32" spans="2:17" ht="16.8" x14ac:dyDescent="0.25">
      <c r="B32" s="9" t="s">
        <v>162</v>
      </c>
      <c r="C32" s="14" t="s">
        <v>176</v>
      </c>
      <c r="D32" s="253"/>
      <c r="E32" s="249"/>
      <c r="F32" s="250">
        <f>'App9. Data for tables'!$C$72</f>
        <v>750</v>
      </c>
      <c r="G32" s="249">
        <f>'App9. Data for tables'!$C$78</f>
        <v>10</v>
      </c>
      <c r="H32" s="253">
        <f t="shared" si="0"/>
        <v>7500</v>
      </c>
      <c r="J32" s="13"/>
      <c r="K32" s="13"/>
      <c r="L32" s="13"/>
      <c r="M32" s="13"/>
      <c r="N32" s="13"/>
      <c r="O32" s="13"/>
      <c r="P32" s="13"/>
      <c r="Q32" s="13"/>
    </row>
    <row r="33" spans="2:17" ht="36" customHeight="1" x14ac:dyDescent="0.25">
      <c r="B33" s="13" t="s">
        <v>42</v>
      </c>
      <c r="C33" s="14" t="s">
        <v>165</v>
      </c>
      <c r="D33" s="240"/>
      <c r="E33" s="241"/>
      <c r="F33" s="91">
        <f>('App9. Data for tables'!$D$28*'App9. Data for tables'!$D$29)+('App9. Data for tables'!$D$30*'App9. Data for tables'!$D$31)</f>
        <v>1567.5</v>
      </c>
      <c r="G33" s="241">
        <f>'App9. Data for tables'!$D$78</f>
        <v>10</v>
      </c>
      <c r="H33" s="91">
        <f t="shared" si="0"/>
        <v>15675</v>
      </c>
      <c r="I33" s="91"/>
      <c r="J33" s="242"/>
      <c r="K33" s="148"/>
      <c r="L33" s="243"/>
      <c r="M33" s="242"/>
      <c r="N33" s="148"/>
      <c r="O33" s="243"/>
      <c r="P33" s="242"/>
      <c r="Q33" s="148"/>
    </row>
    <row r="34" spans="2:17" ht="16.8" x14ac:dyDescent="0.25">
      <c r="B34" s="13" t="s">
        <v>42</v>
      </c>
      <c r="C34" s="14" t="s">
        <v>166</v>
      </c>
      <c r="D34" s="254"/>
      <c r="E34" s="249"/>
      <c r="F34" s="253">
        <f>('App9. Data for tables'!$D$32*'App9. Data for tables'!$D$33)+('App9. Data for tables'!$D$34*'App9. Data for tables'!$D$35)</f>
        <v>0</v>
      </c>
      <c r="G34" s="241">
        <f>'App9. Data for tables'!$D$78</f>
        <v>10</v>
      </c>
      <c r="H34" s="91">
        <f t="shared" ref="H34:H48" si="1">F34*G34</f>
        <v>0</v>
      </c>
      <c r="I34" s="11"/>
      <c r="J34" s="13"/>
      <c r="K34" s="13"/>
      <c r="L34" s="13"/>
      <c r="M34" s="13"/>
      <c r="N34" s="13"/>
      <c r="O34" s="13"/>
      <c r="P34" s="13"/>
      <c r="Q34" s="13"/>
    </row>
    <row r="35" spans="2:17" ht="16.8" x14ac:dyDescent="0.25">
      <c r="B35" s="13" t="s">
        <v>42</v>
      </c>
      <c r="C35" s="14" t="s">
        <v>167</v>
      </c>
      <c r="D35" s="253"/>
      <c r="E35" s="253"/>
      <c r="F35" s="250">
        <f>'App9. Data for tables'!$D$36+('App9. Data for tables'!$D$37*'App9. Data for tables'!$D$38)</f>
        <v>491.15999999999997</v>
      </c>
      <c r="G35" s="241">
        <f>'App9. Data for tables'!$D$78</f>
        <v>10</v>
      </c>
      <c r="H35" s="91">
        <f t="shared" si="1"/>
        <v>4911.5999999999995</v>
      </c>
      <c r="I35" s="32"/>
      <c r="J35" s="13"/>
      <c r="K35" s="161"/>
      <c r="L35" s="13"/>
      <c r="M35" s="13"/>
      <c r="N35" s="161"/>
      <c r="O35" s="13"/>
      <c r="P35" s="13"/>
      <c r="Q35" s="161"/>
    </row>
    <row r="36" spans="2:17" ht="16.8" x14ac:dyDescent="0.25">
      <c r="B36" s="13" t="s">
        <v>42</v>
      </c>
      <c r="C36" s="14" t="s">
        <v>465</v>
      </c>
      <c r="D36" s="253"/>
      <c r="E36" s="253"/>
      <c r="F36" s="250">
        <f>'App9. Data for tables'!$D$39</f>
        <v>100</v>
      </c>
      <c r="G36" s="241">
        <f>'App9. Data for tables'!$D$78</f>
        <v>10</v>
      </c>
      <c r="H36" s="91">
        <f t="shared" si="1"/>
        <v>1000</v>
      </c>
      <c r="I36" s="32"/>
      <c r="J36" s="13"/>
      <c r="K36" s="161"/>
      <c r="L36" s="13"/>
      <c r="M36" s="13"/>
      <c r="N36" s="161"/>
      <c r="O36" s="13"/>
      <c r="P36" s="13"/>
      <c r="Q36" s="161"/>
    </row>
    <row r="37" spans="2:17" ht="16.8" x14ac:dyDescent="0.25">
      <c r="B37" s="13" t="s">
        <v>42</v>
      </c>
      <c r="C37" s="14" t="s">
        <v>466</v>
      </c>
      <c r="D37" s="253"/>
      <c r="E37" s="253"/>
      <c r="F37" s="250">
        <f>('App9. Data for tables'!$D$40*'App9. Data for tables'!$D$41)</f>
        <v>24.75</v>
      </c>
      <c r="G37" s="241">
        <f>'App9. Data for tables'!$D$78</f>
        <v>10</v>
      </c>
      <c r="H37" s="91">
        <f t="shared" si="1"/>
        <v>247.5</v>
      </c>
      <c r="I37" s="32"/>
      <c r="J37" s="13"/>
      <c r="K37" s="161"/>
      <c r="L37" s="13"/>
      <c r="M37" s="13"/>
      <c r="N37" s="161"/>
      <c r="O37" s="13"/>
      <c r="P37" s="13"/>
      <c r="Q37" s="161"/>
    </row>
    <row r="38" spans="2:17" x14ac:dyDescent="0.25">
      <c r="B38" s="13" t="s">
        <v>42</v>
      </c>
      <c r="C38" s="14" t="s">
        <v>168</v>
      </c>
      <c r="D38" s="250"/>
      <c r="E38" s="37"/>
      <c r="F38" s="253">
        <f>'App9. Data for tables'!$D$42</f>
        <v>170</v>
      </c>
      <c r="G38" s="241">
        <f>'App9. Data for tables'!$D$78</f>
        <v>10</v>
      </c>
      <c r="H38" s="91">
        <f t="shared" si="1"/>
        <v>1700</v>
      </c>
      <c r="J38" s="13"/>
      <c r="K38" s="13"/>
      <c r="L38" s="13"/>
      <c r="M38" s="13"/>
      <c r="N38" s="13"/>
      <c r="O38" s="16"/>
      <c r="P38" s="17"/>
      <c r="Q38" s="160"/>
    </row>
    <row r="39" spans="2:17" x14ac:dyDescent="0.25">
      <c r="B39" s="13" t="s">
        <v>42</v>
      </c>
      <c r="C39" s="14" t="s">
        <v>169</v>
      </c>
      <c r="D39" s="253"/>
      <c r="E39" s="249"/>
      <c r="F39" s="250">
        <f>'App9. Data for tables'!$D$43</f>
        <v>180</v>
      </c>
      <c r="G39" s="241">
        <f>'App9. Data for tables'!$D$78</f>
        <v>10</v>
      </c>
      <c r="H39" s="91">
        <f t="shared" si="1"/>
        <v>1800</v>
      </c>
      <c r="J39" s="13"/>
      <c r="K39" s="13"/>
      <c r="L39" s="13"/>
      <c r="M39" s="13"/>
      <c r="N39" s="13"/>
      <c r="O39" s="13"/>
      <c r="P39" s="13"/>
      <c r="Q39" s="13"/>
    </row>
    <row r="40" spans="2:17" ht="16.8" x14ac:dyDescent="0.25">
      <c r="B40" s="13" t="s">
        <v>42</v>
      </c>
      <c r="C40" s="14" t="s">
        <v>170</v>
      </c>
      <c r="D40" s="253"/>
      <c r="E40" s="249"/>
      <c r="F40" s="250">
        <f>('App9. Data for tables'!$D$44*'App9. Data for tables'!$D$45)</f>
        <v>361.27</v>
      </c>
      <c r="G40" s="241">
        <f>'App9. Data for tables'!$D$78</f>
        <v>10</v>
      </c>
      <c r="H40" s="91">
        <f t="shared" si="1"/>
        <v>3612.7</v>
      </c>
      <c r="J40" s="13"/>
      <c r="K40" s="13"/>
      <c r="L40" s="13"/>
      <c r="M40" s="13"/>
      <c r="N40" s="13"/>
      <c r="O40" s="13"/>
      <c r="P40" s="13"/>
      <c r="Q40" s="13"/>
    </row>
    <row r="41" spans="2:17" ht="16.8" x14ac:dyDescent="0.25">
      <c r="B41" s="13" t="s">
        <v>42</v>
      </c>
      <c r="C41" s="14" t="s">
        <v>50</v>
      </c>
      <c r="D41" s="253"/>
      <c r="E41" s="253"/>
      <c r="F41" s="250">
        <f>'App9. Data for tables'!$D$51*'App9. Data for tables'!$D$52</f>
        <v>9.9</v>
      </c>
      <c r="G41" s="241">
        <f>'App9. Data for tables'!$D$78</f>
        <v>10</v>
      </c>
      <c r="H41" s="91">
        <f t="shared" si="1"/>
        <v>99</v>
      </c>
      <c r="J41" s="13"/>
      <c r="K41" s="13"/>
      <c r="L41" s="13"/>
      <c r="M41" s="13"/>
      <c r="N41" s="13"/>
      <c r="O41" s="13"/>
      <c r="P41" s="13"/>
      <c r="Q41" s="13"/>
    </row>
    <row r="42" spans="2:17" ht="16.8" x14ac:dyDescent="0.25">
      <c r="B42" s="13" t="s">
        <v>42</v>
      </c>
      <c r="C42" s="14" t="s">
        <v>172</v>
      </c>
      <c r="D42" s="253"/>
      <c r="E42" s="249"/>
      <c r="F42" s="250">
        <f>SUM('App9. Data for tables'!$D$53:$D$57)</f>
        <v>360</v>
      </c>
      <c r="G42" s="241">
        <f>'App9. Data for tables'!$D$78</f>
        <v>10</v>
      </c>
      <c r="H42" s="91">
        <f t="shared" si="1"/>
        <v>3600</v>
      </c>
      <c r="J42" s="13"/>
      <c r="K42" s="13"/>
      <c r="L42" s="13"/>
      <c r="M42" s="13"/>
      <c r="N42" s="13"/>
      <c r="O42" s="13"/>
      <c r="P42" s="13"/>
      <c r="Q42" s="161"/>
    </row>
    <row r="43" spans="2:17" ht="16.8" x14ac:dyDescent="0.25">
      <c r="B43" s="13" t="s">
        <v>42</v>
      </c>
      <c r="C43" s="14" t="s">
        <v>173</v>
      </c>
      <c r="D43" s="253"/>
      <c r="E43" s="249"/>
      <c r="F43" s="250">
        <f>'App9. Data for tables'!$D$58</f>
        <v>270</v>
      </c>
      <c r="G43" s="241">
        <f>'App9. Data for tables'!$D$78</f>
        <v>10</v>
      </c>
      <c r="H43" s="91">
        <f t="shared" si="1"/>
        <v>2700</v>
      </c>
      <c r="J43" s="13"/>
      <c r="K43" s="13"/>
      <c r="L43" s="13"/>
      <c r="M43" s="13"/>
      <c r="N43" s="13"/>
      <c r="O43" s="13"/>
      <c r="P43" s="13"/>
      <c r="Q43" s="161"/>
    </row>
    <row r="44" spans="2:17" ht="16.8" x14ac:dyDescent="0.25">
      <c r="B44" s="13" t="s">
        <v>42</v>
      </c>
      <c r="C44" s="14" t="s">
        <v>174</v>
      </c>
      <c r="D44" s="250"/>
      <c r="E44" s="37"/>
      <c r="F44" s="253">
        <f>'App9. Data for tables'!$D$68</f>
        <v>300</v>
      </c>
      <c r="G44" s="241">
        <f>'App9. Data for tables'!$D$78</f>
        <v>10</v>
      </c>
      <c r="H44" s="91">
        <f t="shared" si="1"/>
        <v>3000</v>
      </c>
      <c r="J44" s="13"/>
      <c r="K44" s="13"/>
      <c r="L44" s="13"/>
      <c r="M44" s="13"/>
      <c r="N44" s="13"/>
      <c r="O44" s="16"/>
      <c r="P44" s="17"/>
      <c r="Q44" s="160"/>
    </row>
    <row r="45" spans="2:17" x14ac:dyDescent="0.25">
      <c r="B45" s="13" t="s">
        <v>42</v>
      </c>
      <c r="C45" s="14" t="s">
        <v>59</v>
      </c>
      <c r="D45" s="253"/>
      <c r="E45" s="249"/>
      <c r="F45" s="250">
        <f>'App9. Data for tables'!$D$69</f>
        <v>190</v>
      </c>
      <c r="G45" s="241">
        <f>'App9. Data for tables'!$D$78</f>
        <v>10</v>
      </c>
      <c r="H45" s="91">
        <f t="shared" si="1"/>
        <v>1900</v>
      </c>
      <c r="J45" s="13"/>
      <c r="K45" s="13"/>
      <c r="L45" s="13"/>
      <c r="M45" s="13"/>
      <c r="N45" s="13"/>
      <c r="O45" s="13"/>
      <c r="P45" s="13"/>
      <c r="Q45" s="13"/>
    </row>
    <row r="46" spans="2:17" x14ac:dyDescent="0.25">
      <c r="B46" s="13" t="s">
        <v>42</v>
      </c>
      <c r="C46" s="14" t="s">
        <v>60</v>
      </c>
      <c r="D46" s="253"/>
      <c r="E46" s="249"/>
      <c r="F46" s="250">
        <f>'App9. Data for tables'!$D$70</f>
        <v>200</v>
      </c>
      <c r="G46" s="241">
        <f>'App9. Data for tables'!$D$78</f>
        <v>10</v>
      </c>
      <c r="H46" s="91">
        <f t="shared" si="1"/>
        <v>2000</v>
      </c>
      <c r="J46" s="13"/>
      <c r="K46" s="13"/>
      <c r="L46" s="13"/>
      <c r="M46" s="13"/>
      <c r="N46" s="13"/>
      <c r="O46" s="13"/>
      <c r="P46" s="13"/>
      <c r="Q46" s="13"/>
    </row>
    <row r="47" spans="2:17" x14ac:dyDescent="0.25">
      <c r="B47" s="13" t="s">
        <v>42</v>
      </c>
      <c r="C47" s="14" t="s">
        <v>175</v>
      </c>
      <c r="D47" s="253"/>
      <c r="E47" s="249"/>
      <c r="F47" s="250">
        <f>'App9. Data for tables'!$D$71</f>
        <v>600</v>
      </c>
      <c r="G47" s="241">
        <f>'App9. Data for tables'!$D$78</f>
        <v>10</v>
      </c>
      <c r="H47" s="91">
        <f t="shared" si="1"/>
        <v>6000</v>
      </c>
      <c r="J47" s="13"/>
      <c r="K47" s="13"/>
      <c r="L47" s="13"/>
      <c r="M47" s="13"/>
      <c r="N47" s="13"/>
      <c r="O47" s="13"/>
      <c r="P47" s="13"/>
      <c r="Q47" s="13"/>
    </row>
    <row r="48" spans="2:17" ht="16.8" x14ac:dyDescent="0.25">
      <c r="B48" s="13" t="s">
        <v>42</v>
      </c>
      <c r="C48" s="14" t="s">
        <v>176</v>
      </c>
      <c r="D48" s="253"/>
      <c r="E48" s="249"/>
      <c r="F48" s="250">
        <f>'App9. Data for tables'!$C$72</f>
        <v>750</v>
      </c>
      <c r="G48" s="241">
        <f>'App9. Data for tables'!$D$78</f>
        <v>10</v>
      </c>
      <c r="H48" s="91">
        <f t="shared" si="1"/>
        <v>7500</v>
      </c>
      <c r="J48" s="13"/>
      <c r="K48" s="13"/>
      <c r="L48" s="13"/>
      <c r="M48" s="13"/>
      <c r="N48" s="13"/>
      <c r="O48" s="13"/>
      <c r="P48" s="13"/>
      <c r="Q48" s="13"/>
    </row>
    <row r="49" spans="2:17" ht="36" customHeight="1" x14ac:dyDescent="0.25">
      <c r="B49" s="13" t="s">
        <v>43</v>
      </c>
      <c r="C49" s="14" t="s">
        <v>165</v>
      </c>
      <c r="D49" s="240"/>
      <c r="E49" s="241"/>
      <c r="F49" s="91">
        <f>('App9. Data for tables'!$E$28*'App9. Data for tables'!$E$29)+('App9. Data for tables'!$E$30*'App9. Data for tables'!$E$31)</f>
        <v>1282.5</v>
      </c>
      <c r="G49" s="241">
        <f>'App9. Data for tables'!$E$78</f>
        <v>10</v>
      </c>
      <c r="H49" s="91">
        <f t="shared" ref="H49:H70" si="2">F49*G49</f>
        <v>12825</v>
      </c>
      <c r="I49" s="91"/>
      <c r="J49" s="13"/>
      <c r="K49" s="13"/>
      <c r="L49" s="13"/>
      <c r="M49" s="13"/>
      <c r="N49" s="13"/>
      <c r="O49" s="13"/>
      <c r="P49" s="13"/>
      <c r="Q49" s="13"/>
    </row>
    <row r="50" spans="2:17" ht="16.8" x14ac:dyDescent="0.25">
      <c r="B50" s="13" t="s">
        <v>43</v>
      </c>
      <c r="C50" s="14" t="s">
        <v>166</v>
      </c>
      <c r="D50" s="254"/>
      <c r="E50" s="249"/>
      <c r="F50" s="253">
        <f>('App9. Data for tables'!$E$32*'App9. Data for tables'!$E$33)+('App9. Data for tables'!$E$34*'App9. Data for tables'!$E$35)</f>
        <v>0</v>
      </c>
      <c r="G50" s="241">
        <f>'App9. Data for tables'!$E$78</f>
        <v>10</v>
      </c>
      <c r="H50" s="91">
        <f t="shared" si="2"/>
        <v>0</v>
      </c>
      <c r="I50" s="11"/>
      <c r="J50" s="13"/>
      <c r="K50" s="13"/>
      <c r="L50" s="13"/>
      <c r="M50" s="13"/>
      <c r="N50" s="13"/>
      <c r="O50" s="13"/>
      <c r="P50" s="13"/>
      <c r="Q50" s="13"/>
    </row>
    <row r="51" spans="2:17" ht="16.8" x14ac:dyDescent="0.25">
      <c r="B51" s="13" t="s">
        <v>43</v>
      </c>
      <c r="C51" s="14" t="s">
        <v>167</v>
      </c>
      <c r="D51" s="253"/>
      <c r="E51" s="253"/>
      <c r="F51" s="250">
        <f>'App9. Data for tables'!$E$36+('App9. Data for tables'!$E$37*'App9. Data for tables'!$E$38)</f>
        <v>1637.32</v>
      </c>
      <c r="G51" s="241">
        <f>'App9. Data for tables'!$E$78</f>
        <v>10</v>
      </c>
      <c r="H51" s="91">
        <f t="shared" si="2"/>
        <v>16373.199999999999</v>
      </c>
      <c r="J51" s="13"/>
      <c r="K51" s="13"/>
      <c r="L51" s="13"/>
      <c r="M51" s="13"/>
      <c r="N51" s="13"/>
      <c r="O51" s="13"/>
      <c r="P51" s="13"/>
      <c r="Q51" s="13"/>
    </row>
    <row r="52" spans="2:17" ht="16.8" x14ac:dyDescent="0.25">
      <c r="B52" s="13" t="s">
        <v>43</v>
      </c>
      <c r="C52" s="14" t="s">
        <v>465</v>
      </c>
      <c r="D52" s="253"/>
      <c r="E52" s="253"/>
      <c r="F52" s="250">
        <f>'App9. Data for tables'!$E$39</f>
        <v>220</v>
      </c>
      <c r="G52" s="241">
        <f>'App9. Data for tables'!$E$78</f>
        <v>10</v>
      </c>
      <c r="H52" s="91">
        <f t="shared" si="2"/>
        <v>2200</v>
      </c>
      <c r="I52" s="32"/>
      <c r="J52" s="13"/>
      <c r="K52" s="161"/>
      <c r="L52" s="13"/>
      <c r="M52" s="13"/>
      <c r="N52" s="161"/>
      <c r="O52" s="13"/>
      <c r="P52" s="13"/>
      <c r="Q52" s="161"/>
    </row>
    <row r="53" spans="2:17" ht="16.8" x14ac:dyDescent="0.25">
      <c r="B53" s="13" t="s">
        <v>43</v>
      </c>
      <c r="C53" s="14" t="s">
        <v>466</v>
      </c>
      <c r="D53" s="253"/>
      <c r="E53" s="253"/>
      <c r="F53" s="250">
        <f>('App9. Data for tables'!$E$40*'App9. Data for tables'!$E$41)</f>
        <v>24.75</v>
      </c>
      <c r="G53" s="241">
        <f>'App9. Data for tables'!$E$78</f>
        <v>10</v>
      </c>
      <c r="H53" s="91">
        <f t="shared" si="2"/>
        <v>247.5</v>
      </c>
      <c r="I53" s="32"/>
      <c r="J53" s="13"/>
      <c r="K53" s="161"/>
      <c r="L53" s="13"/>
      <c r="M53" s="13"/>
      <c r="N53" s="161"/>
      <c r="O53" s="13"/>
      <c r="P53" s="13"/>
      <c r="Q53" s="161"/>
    </row>
    <row r="54" spans="2:17" x14ac:dyDescent="0.25">
      <c r="B54" s="13" t="s">
        <v>43</v>
      </c>
      <c r="C54" s="14" t="s">
        <v>168</v>
      </c>
      <c r="D54" s="250"/>
      <c r="E54" s="37"/>
      <c r="F54" s="253">
        <f>'App9. Data for tables'!$E$42</f>
        <v>170</v>
      </c>
      <c r="G54" s="241">
        <f>'App9. Data for tables'!$E$78</f>
        <v>10</v>
      </c>
      <c r="H54" s="91">
        <f t="shared" si="2"/>
        <v>1700</v>
      </c>
      <c r="J54" s="13"/>
      <c r="K54" s="13"/>
      <c r="L54" s="13"/>
      <c r="M54" s="13"/>
      <c r="N54" s="13"/>
      <c r="O54" s="13"/>
      <c r="P54" s="13"/>
      <c r="Q54" s="13"/>
    </row>
    <row r="55" spans="2:17" x14ac:dyDescent="0.25">
      <c r="B55" s="13" t="s">
        <v>43</v>
      </c>
      <c r="C55" s="14" t="s">
        <v>169</v>
      </c>
      <c r="D55" s="253"/>
      <c r="E55" s="253"/>
      <c r="F55" s="250">
        <f>'App9. Data for tables'!$E$43</f>
        <v>180</v>
      </c>
      <c r="G55" s="241">
        <f>'App9. Data for tables'!$E$78</f>
        <v>10</v>
      </c>
      <c r="H55" s="91">
        <f t="shared" si="2"/>
        <v>1800</v>
      </c>
      <c r="J55" s="13"/>
      <c r="K55" s="13"/>
      <c r="L55" s="13"/>
      <c r="M55" s="13"/>
      <c r="N55" s="13"/>
      <c r="O55" s="13"/>
      <c r="P55" s="13"/>
      <c r="Q55" s="13"/>
    </row>
    <row r="56" spans="2:17" ht="16.8" x14ac:dyDescent="0.25">
      <c r="B56" s="13" t="s">
        <v>43</v>
      </c>
      <c r="C56" s="14" t="s">
        <v>177</v>
      </c>
      <c r="D56" s="253"/>
      <c r="E56" s="253"/>
      <c r="F56" s="250">
        <f>('App9. Data for tables'!$E$44*'App9. Data for tables'!$E$45)</f>
        <v>361.27</v>
      </c>
      <c r="G56" s="241">
        <f>'App9. Data for tables'!$E$78</f>
        <v>10</v>
      </c>
      <c r="H56" s="91">
        <f t="shared" si="2"/>
        <v>3612.7</v>
      </c>
      <c r="J56" s="13"/>
      <c r="K56" s="13"/>
      <c r="L56" s="13"/>
      <c r="M56" s="13"/>
      <c r="N56" s="13"/>
      <c r="O56" s="13"/>
      <c r="P56" s="13"/>
      <c r="Q56" s="13"/>
    </row>
    <row r="57" spans="2:17" x14ac:dyDescent="0.25">
      <c r="B57" s="13" t="s">
        <v>43</v>
      </c>
      <c r="C57" s="14" t="s">
        <v>51</v>
      </c>
      <c r="D57" s="250"/>
      <c r="E57" s="37"/>
      <c r="F57" s="253">
        <f>'App9. Data for tables'!$E$46*'App9. Data for tables'!$E$47</f>
        <v>65</v>
      </c>
      <c r="G57" s="241">
        <f>'App9. Data for tables'!$E$78</f>
        <v>10</v>
      </c>
      <c r="H57" s="91">
        <f t="shared" si="2"/>
        <v>650</v>
      </c>
      <c r="I57" s="51"/>
      <c r="J57" s="13"/>
      <c r="K57" s="13"/>
      <c r="L57" s="13"/>
      <c r="M57" s="13"/>
      <c r="N57" s="13"/>
      <c r="O57" s="13"/>
      <c r="P57" s="13"/>
      <c r="Q57" s="13"/>
    </row>
    <row r="58" spans="2:17" ht="16.8" x14ac:dyDescent="0.25">
      <c r="B58" s="13" t="s">
        <v>43</v>
      </c>
      <c r="C58" s="14" t="s">
        <v>50</v>
      </c>
      <c r="D58" s="253"/>
      <c r="E58" s="253"/>
      <c r="F58" s="250">
        <f>('App9. Data for tables'!$E$51*'App9. Data for tables'!$E$52)</f>
        <v>9.9</v>
      </c>
      <c r="G58" s="241">
        <f>'App9. Data for tables'!$E$78</f>
        <v>10</v>
      </c>
      <c r="H58" s="91">
        <f t="shared" si="2"/>
        <v>99</v>
      </c>
      <c r="J58" s="13"/>
      <c r="K58" s="13"/>
      <c r="L58" s="13"/>
      <c r="M58" s="13"/>
      <c r="N58" s="13"/>
      <c r="O58" s="13"/>
      <c r="P58" s="13"/>
      <c r="Q58" s="13"/>
    </row>
    <row r="59" spans="2:17" ht="16.8" x14ac:dyDescent="0.25">
      <c r="B59" s="13" t="s">
        <v>43</v>
      </c>
      <c r="C59" s="14" t="s">
        <v>172</v>
      </c>
      <c r="D59" s="253"/>
      <c r="E59" s="253"/>
      <c r="F59" s="250">
        <f>SUM('App9. Data for tables'!$E$53:$E$57)</f>
        <v>360</v>
      </c>
      <c r="G59" s="241">
        <f>'App9. Data for tables'!$E$78</f>
        <v>10</v>
      </c>
      <c r="H59" s="91">
        <f t="shared" si="2"/>
        <v>3600</v>
      </c>
      <c r="J59" s="13"/>
      <c r="K59" s="13"/>
      <c r="L59" s="13"/>
      <c r="M59" s="13"/>
      <c r="N59" s="13"/>
      <c r="O59" s="13"/>
      <c r="P59" s="13"/>
      <c r="Q59" s="13"/>
    </row>
    <row r="60" spans="2:17" ht="16.8" x14ac:dyDescent="0.25">
      <c r="B60" s="13" t="s">
        <v>43</v>
      </c>
      <c r="C60" s="14" t="s">
        <v>173</v>
      </c>
      <c r="D60" s="253"/>
      <c r="E60" s="253"/>
      <c r="F60" s="250">
        <f>'App9. Data for tables'!$E$58</f>
        <v>270</v>
      </c>
      <c r="G60" s="241">
        <f>'App9. Data for tables'!$E$78</f>
        <v>10</v>
      </c>
      <c r="H60" s="91">
        <f t="shared" si="2"/>
        <v>2700</v>
      </c>
      <c r="J60" s="13"/>
      <c r="K60" s="13"/>
      <c r="L60" s="13"/>
      <c r="M60" s="13"/>
      <c r="N60" s="13"/>
      <c r="O60" s="13"/>
      <c r="P60" s="13"/>
      <c r="Q60" s="13"/>
    </row>
    <row r="61" spans="2:17" ht="16.8" x14ac:dyDescent="0.25">
      <c r="B61" s="13" t="s">
        <v>43</v>
      </c>
      <c r="C61" s="14" t="s">
        <v>174</v>
      </c>
      <c r="D61" s="250"/>
      <c r="E61" s="37"/>
      <c r="F61" s="253">
        <f>'App9. Data for tables'!$E$68</f>
        <v>300</v>
      </c>
      <c r="G61" s="241">
        <f>'App9. Data for tables'!$E$78</f>
        <v>10</v>
      </c>
      <c r="H61" s="91">
        <f t="shared" si="2"/>
        <v>3000</v>
      </c>
      <c r="J61" s="13"/>
      <c r="K61" s="13"/>
      <c r="L61" s="13"/>
      <c r="M61" s="13"/>
      <c r="N61" s="13"/>
      <c r="O61" s="13"/>
      <c r="P61" s="13"/>
      <c r="Q61" s="13"/>
    </row>
    <row r="62" spans="2:17" x14ac:dyDescent="0.25">
      <c r="B62" s="13" t="s">
        <v>43</v>
      </c>
      <c r="C62" s="14" t="s">
        <v>59</v>
      </c>
      <c r="D62" s="253"/>
      <c r="E62" s="249"/>
      <c r="F62" s="250">
        <f>'App9. Data for tables'!$E$69</f>
        <v>190</v>
      </c>
      <c r="G62" s="241">
        <f>'App9. Data for tables'!$E$78</f>
        <v>10</v>
      </c>
      <c r="H62" s="91">
        <f t="shared" si="2"/>
        <v>1900</v>
      </c>
      <c r="J62" s="13"/>
      <c r="K62" s="13"/>
      <c r="L62" s="13"/>
      <c r="M62" s="13"/>
      <c r="N62" s="13"/>
      <c r="O62" s="13"/>
      <c r="P62" s="13"/>
      <c r="Q62" s="13"/>
    </row>
    <row r="63" spans="2:17" x14ac:dyDescent="0.25">
      <c r="B63" s="13" t="s">
        <v>43</v>
      </c>
      <c r="C63" s="14" t="s">
        <v>60</v>
      </c>
      <c r="D63" s="253"/>
      <c r="E63" s="253"/>
      <c r="F63" s="250">
        <f>'App9. Data for tables'!$E$70</f>
        <v>200</v>
      </c>
      <c r="G63" s="241">
        <f>'App9. Data for tables'!$E$78</f>
        <v>10</v>
      </c>
      <c r="H63" s="91">
        <f t="shared" si="2"/>
        <v>2000</v>
      </c>
      <c r="J63" s="13"/>
      <c r="K63" s="13"/>
      <c r="L63" s="13"/>
      <c r="M63" s="13"/>
      <c r="N63" s="13"/>
      <c r="O63" s="13"/>
      <c r="P63" s="13"/>
      <c r="Q63" s="13"/>
    </row>
    <row r="64" spans="2:17" x14ac:dyDescent="0.25">
      <c r="B64" s="13" t="s">
        <v>43</v>
      </c>
      <c r="C64" s="14" t="s">
        <v>175</v>
      </c>
      <c r="D64" s="253"/>
      <c r="E64" s="253"/>
      <c r="F64" s="250">
        <f>'App9. Data for tables'!$E$71</f>
        <v>600</v>
      </c>
      <c r="G64" s="241">
        <f>'App9. Data for tables'!$E$78</f>
        <v>10</v>
      </c>
      <c r="H64" s="91">
        <f t="shared" si="2"/>
        <v>6000</v>
      </c>
      <c r="J64" s="13"/>
      <c r="K64" s="13"/>
      <c r="L64" s="13"/>
      <c r="M64" s="13"/>
      <c r="N64" s="13"/>
      <c r="O64" s="13"/>
      <c r="P64" s="13"/>
      <c r="Q64" s="13"/>
    </row>
    <row r="65" spans="2:17" ht="16.8" x14ac:dyDescent="0.25">
      <c r="B65" s="13" t="s">
        <v>43</v>
      </c>
      <c r="C65" s="14" t="s">
        <v>176</v>
      </c>
      <c r="D65" s="253"/>
      <c r="E65" s="253"/>
      <c r="F65" s="250">
        <f>'App9. Data for tables'!$E$72</f>
        <v>750</v>
      </c>
      <c r="G65" s="241">
        <f>'App9. Data for tables'!$E$78</f>
        <v>10</v>
      </c>
      <c r="H65" s="91">
        <f t="shared" si="2"/>
        <v>7500</v>
      </c>
      <c r="J65" s="13"/>
      <c r="K65" s="13"/>
      <c r="L65" s="13"/>
      <c r="M65" s="13"/>
      <c r="N65" s="13"/>
      <c r="O65" s="13"/>
      <c r="P65" s="13"/>
      <c r="Q65" s="13"/>
    </row>
    <row r="66" spans="2:17" x14ac:dyDescent="0.25">
      <c r="B66" s="13" t="s">
        <v>43</v>
      </c>
      <c r="C66" s="14" t="s">
        <v>467</v>
      </c>
      <c r="D66" s="250">
        <f>'App9. Data for tables'!$E$59</f>
        <v>43</v>
      </c>
      <c r="E66" s="37">
        <f>'App9. Data for tables'!$E$7</f>
        <v>0</v>
      </c>
      <c r="F66" s="253">
        <f>D66*E66</f>
        <v>0</v>
      </c>
      <c r="G66" s="241">
        <f>'App9. Data for tables'!$E$78</f>
        <v>10</v>
      </c>
      <c r="H66" s="91">
        <f t="shared" si="2"/>
        <v>0</v>
      </c>
      <c r="J66" s="13"/>
      <c r="K66" s="13"/>
      <c r="L66" s="13"/>
      <c r="M66" s="13"/>
      <c r="N66" s="13"/>
      <c r="O66" s="13"/>
      <c r="P66" s="13"/>
      <c r="Q66" s="13"/>
    </row>
    <row r="67" spans="2:17" x14ac:dyDescent="0.25">
      <c r="B67" s="13" t="s">
        <v>43</v>
      </c>
      <c r="C67" s="14" t="s">
        <v>468</v>
      </c>
      <c r="D67" s="250">
        <f>'App9. Data for tables'!$E$60</f>
        <v>11</v>
      </c>
      <c r="E67" s="37">
        <f>'App9. Data for tables'!$E$7</f>
        <v>0</v>
      </c>
      <c r="F67" s="253">
        <f>D67*E67</f>
        <v>0</v>
      </c>
      <c r="G67" s="241">
        <f>'App9. Data for tables'!$E$78</f>
        <v>10</v>
      </c>
      <c r="H67" s="91">
        <f t="shared" si="2"/>
        <v>0</v>
      </c>
      <c r="J67" s="13"/>
      <c r="K67" s="13"/>
      <c r="L67" s="13"/>
      <c r="M67" s="13"/>
      <c r="N67" s="13"/>
      <c r="O67" s="13"/>
      <c r="P67" s="13"/>
      <c r="Q67" s="13"/>
    </row>
    <row r="68" spans="2:17" x14ac:dyDescent="0.25">
      <c r="B68" s="13" t="s">
        <v>43</v>
      </c>
      <c r="C68" s="14" t="s">
        <v>469</v>
      </c>
      <c r="D68" s="250">
        <f>'App9. Data for tables'!$E$61</f>
        <v>11</v>
      </c>
      <c r="E68" s="37">
        <f>'App9. Data for tables'!$E$7</f>
        <v>0</v>
      </c>
      <c r="F68" s="253">
        <f>D68*E68</f>
        <v>0</v>
      </c>
      <c r="G68" s="241">
        <f>'App9. Data for tables'!$E$78</f>
        <v>10</v>
      </c>
      <c r="H68" s="91">
        <f t="shared" si="2"/>
        <v>0</v>
      </c>
      <c r="J68" s="13"/>
      <c r="K68" s="13"/>
      <c r="L68" s="13"/>
      <c r="M68" s="13"/>
      <c r="N68" s="13"/>
      <c r="O68" s="13"/>
      <c r="P68" s="13"/>
      <c r="Q68" s="13"/>
    </row>
    <row r="69" spans="2:17" x14ac:dyDescent="0.25">
      <c r="B69" s="13" t="s">
        <v>43</v>
      </c>
      <c r="C69" s="14" t="s">
        <v>178</v>
      </c>
      <c r="D69" s="250">
        <f>'App9. Data for tables'!$E$67</f>
        <v>0</v>
      </c>
      <c r="E69" s="37">
        <f>'App9. Data for tables'!$E$7</f>
        <v>0</v>
      </c>
      <c r="F69" s="253">
        <f>D69*E69</f>
        <v>0</v>
      </c>
      <c r="G69" s="241">
        <f>'App9. Data for tables'!$E$78</f>
        <v>10</v>
      </c>
      <c r="H69" s="91">
        <f t="shared" si="2"/>
        <v>0</v>
      </c>
      <c r="J69" s="13"/>
      <c r="K69" s="13"/>
      <c r="L69" s="13"/>
      <c r="M69" s="13"/>
      <c r="N69" s="13"/>
      <c r="O69" s="13"/>
      <c r="P69" s="13"/>
      <c r="Q69" s="13"/>
    </row>
    <row r="70" spans="2:17" ht="36" customHeight="1" x14ac:dyDescent="0.25">
      <c r="B70" s="13" t="s">
        <v>44</v>
      </c>
      <c r="C70" s="14" t="s">
        <v>470</v>
      </c>
      <c r="D70" s="91"/>
      <c r="E70" s="91"/>
      <c r="F70" s="240">
        <f>'App9. Data for tables'!$F$21</f>
        <v>10000</v>
      </c>
      <c r="G70" s="241">
        <f>'App9. Data for tables'!$F$78</f>
        <v>10</v>
      </c>
      <c r="H70" s="91">
        <f t="shared" si="2"/>
        <v>100000</v>
      </c>
      <c r="J70" s="13"/>
      <c r="K70" s="13"/>
      <c r="L70" s="13"/>
      <c r="M70" s="13"/>
      <c r="N70" s="13"/>
      <c r="O70" s="13"/>
      <c r="P70" s="13"/>
      <c r="Q70" s="13"/>
    </row>
    <row r="71" spans="2:17" x14ac:dyDescent="0.25">
      <c r="B71" s="13" t="s">
        <v>44</v>
      </c>
      <c r="C71" s="14" t="s">
        <v>471</v>
      </c>
      <c r="D71" s="253"/>
      <c r="E71" s="253"/>
      <c r="F71" s="250">
        <f>'App9. Data for tables'!$F$22</f>
        <v>150</v>
      </c>
      <c r="G71" s="249">
        <f>'App9. Data for tables'!$F$78</f>
        <v>10</v>
      </c>
      <c r="H71" s="253">
        <f t="shared" ref="H71:H92" si="3">F71*G71</f>
        <v>1500</v>
      </c>
      <c r="J71" s="13"/>
      <c r="K71" s="13"/>
      <c r="L71" s="13"/>
      <c r="M71" s="13"/>
      <c r="N71" s="13"/>
      <c r="O71" s="13"/>
      <c r="P71" s="13"/>
      <c r="Q71" s="13"/>
    </row>
    <row r="72" spans="2:17" ht="16.8" x14ac:dyDescent="0.25">
      <c r="B72" s="13" t="s">
        <v>44</v>
      </c>
      <c r="C72" s="14" t="s">
        <v>165</v>
      </c>
      <c r="D72" s="250"/>
      <c r="E72" s="249"/>
      <c r="F72" s="253">
        <f>('App9. Data for tables'!$F$28*'App9. Data for tables'!$F$29)+('App9. Data for tables'!$F$30*'App9. Data for tables'!$F$31)</f>
        <v>688.75</v>
      </c>
      <c r="G72" s="249">
        <f>'App9. Data for tables'!$F$78</f>
        <v>10</v>
      </c>
      <c r="H72" s="253">
        <f t="shared" si="3"/>
        <v>6887.5</v>
      </c>
      <c r="J72" s="13"/>
      <c r="K72" s="13"/>
      <c r="L72" s="13"/>
      <c r="M72" s="13"/>
      <c r="N72" s="13"/>
      <c r="O72" s="13"/>
      <c r="P72" s="13"/>
      <c r="Q72" s="13"/>
    </row>
    <row r="73" spans="2:17" ht="16.8" x14ac:dyDescent="0.25">
      <c r="B73" s="13" t="s">
        <v>44</v>
      </c>
      <c r="C73" s="14" t="s">
        <v>166</v>
      </c>
      <c r="D73" s="250"/>
      <c r="E73" s="249"/>
      <c r="F73" s="253">
        <f>('App9. Data for tables'!$F$32*'App9. Data for tables'!$F$33)+('App9. Data for tables'!$F$34*'App9. Data for tables'!$F$35)</f>
        <v>0</v>
      </c>
      <c r="G73" s="249">
        <f>'App9. Data for tables'!$F$78</f>
        <v>10</v>
      </c>
      <c r="H73" s="253">
        <f t="shared" si="3"/>
        <v>0</v>
      </c>
      <c r="J73" s="13"/>
      <c r="K73" s="13"/>
      <c r="L73" s="13"/>
      <c r="M73" s="13"/>
      <c r="N73" s="13"/>
      <c r="O73" s="13"/>
      <c r="P73" s="13"/>
      <c r="Q73" s="13"/>
    </row>
    <row r="74" spans="2:17" ht="16.8" x14ac:dyDescent="0.25">
      <c r="B74" s="13" t="s">
        <v>44</v>
      </c>
      <c r="C74" s="14" t="s">
        <v>167</v>
      </c>
      <c r="D74" s="253"/>
      <c r="E74" s="253"/>
      <c r="F74" s="250">
        <f>'App9. Data for tables'!$F$36+('App9. Data for tables'!$F$37*'App9. Data for tables'!$F$38)</f>
        <v>1787.32</v>
      </c>
      <c r="G74" s="249">
        <f>'App9. Data for tables'!$F$78</f>
        <v>10</v>
      </c>
      <c r="H74" s="253">
        <f t="shared" si="3"/>
        <v>17873.2</v>
      </c>
      <c r="I74" s="51"/>
      <c r="J74" s="13"/>
      <c r="K74" s="13"/>
      <c r="L74" s="13"/>
      <c r="M74" s="13"/>
      <c r="N74" s="13"/>
      <c r="O74" s="13"/>
      <c r="P74" s="13"/>
      <c r="Q74" s="13"/>
    </row>
    <row r="75" spans="2:17" ht="16.8" x14ac:dyDescent="0.25">
      <c r="B75" s="13" t="s">
        <v>44</v>
      </c>
      <c r="C75" s="14" t="s">
        <v>465</v>
      </c>
      <c r="D75" s="253"/>
      <c r="E75" s="253"/>
      <c r="F75" s="250">
        <f>'App9. Data for tables'!$F$39</f>
        <v>220</v>
      </c>
      <c r="G75" s="249">
        <f>'App9. Data for tables'!$F$78</f>
        <v>10</v>
      </c>
      <c r="H75" s="253">
        <f t="shared" si="3"/>
        <v>2200</v>
      </c>
      <c r="I75" s="32"/>
      <c r="J75" s="13"/>
      <c r="K75" s="161"/>
      <c r="L75" s="13"/>
      <c r="M75" s="13"/>
      <c r="N75" s="161"/>
      <c r="O75" s="13"/>
      <c r="P75" s="13"/>
      <c r="Q75" s="161"/>
    </row>
    <row r="76" spans="2:17" ht="16.8" x14ac:dyDescent="0.25">
      <c r="B76" s="13" t="s">
        <v>44</v>
      </c>
      <c r="C76" s="14" t="s">
        <v>466</v>
      </c>
      <c r="D76" s="253"/>
      <c r="E76" s="253"/>
      <c r="F76" s="250">
        <f>('App9. Data for tables'!$F$40*'App9. Data for tables'!$F$41)</f>
        <v>24.75</v>
      </c>
      <c r="G76" s="249">
        <f>'App9. Data for tables'!$F$78</f>
        <v>10</v>
      </c>
      <c r="H76" s="253">
        <f t="shared" si="3"/>
        <v>247.5</v>
      </c>
      <c r="I76" s="32"/>
      <c r="J76" s="13"/>
      <c r="K76" s="161"/>
      <c r="L76" s="13"/>
      <c r="M76" s="13"/>
      <c r="N76" s="161"/>
      <c r="O76" s="13"/>
      <c r="P76" s="13"/>
      <c r="Q76" s="161"/>
    </row>
    <row r="77" spans="2:17" x14ac:dyDescent="0.25">
      <c r="B77" s="13" t="s">
        <v>44</v>
      </c>
      <c r="C77" s="14" t="s">
        <v>168</v>
      </c>
      <c r="D77" s="250"/>
      <c r="E77" s="37"/>
      <c r="F77" s="253">
        <f>'App9. Data for tables'!$F$42</f>
        <v>170</v>
      </c>
      <c r="G77" s="249">
        <f>'App9. Data for tables'!$F$78</f>
        <v>10</v>
      </c>
      <c r="H77" s="253">
        <f t="shared" si="3"/>
        <v>1700</v>
      </c>
      <c r="I77" s="51"/>
      <c r="J77" s="13"/>
      <c r="K77" s="13"/>
      <c r="L77" s="13"/>
      <c r="M77" s="13"/>
      <c r="N77" s="13"/>
      <c r="O77" s="13"/>
      <c r="P77" s="13"/>
      <c r="Q77" s="13"/>
    </row>
    <row r="78" spans="2:17" x14ac:dyDescent="0.25">
      <c r="B78" s="13" t="s">
        <v>44</v>
      </c>
      <c r="C78" s="14" t="s">
        <v>169</v>
      </c>
      <c r="D78" s="253"/>
      <c r="E78" s="253"/>
      <c r="F78" s="250">
        <f>'App9. Data for tables'!$F$43</f>
        <v>195</v>
      </c>
      <c r="G78" s="249">
        <f>'App9. Data for tables'!$F$78</f>
        <v>10</v>
      </c>
      <c r="H78" s="253">
        <f t="shared" si="3"/>
        <v>1950</v>
      </c>
      <c r="J78" s="13"/>
      <c r="K78" s="13"/>
      <c r="L78" s="13"/>
      <c r="M78" s="13"/>
      <c r="N78" s="13"/>
      <c r="O78" s="13"/>
      <c r="P78" s="13"/>
      <c r="Q78" s="13"/>
    </row>
    <row r="79" spans="2:17" ht="16.8" x14ac:dyDescent="0.25">
      <c r="B79" s="13" t="s">
        <v>44</v>
      </c>
      <c r="C79" s="14" t="s">
        <v>170</v>
      </c>
      <c r="D79" s="253"/>
      <c r="E79" s="253"/>
      <c r="F79" s="250">
        <f>('App9. Data for tables'!$F$44*'App9. Data for tables'!$F$45)</f>
        <v>361.27</v>
      </c>
      <c r="G79" s="249">
        <f>'App9. Data for tables'!$F$78</f>
        <v>10</v>
      </c>
      <c r="H79" s="253">
        <f t="shared" si="3"/>
        <v>3612.7</v>
      </c>
      <c r="J79" s="13"/>
      <c r="K79" s="13"/>
      <c r="L79" s="13"/>
      <c r="M79" s="13"/>
      <c r="N79" s="13"/>
      <c r="O79" s="13"/>
      <c r="P79" s="13"/>
      <c r="Q79" s="13"/>
    </row>
    <row r="80" spans="2:17" x14ac:dyDescent="0.25">
      <c r="B80" s="13" t="s">
        <v>44</v>
      </c>
      <c r="C80" s="14" t="s">
        <v>51</v>
      </c>
      <c r="D80" s="250"/>
      <c r="E80" s="37"/>
      <c r="F80" s="253">
        <f>'App9. Data for tables'!$F$46*'App9. Data for tables'!$F$47</f>
        <v>65</v>
      </c>
      <c r="G80" s="249">
        <f>'App9. Data for tables'!$F$78</f>
        <v>10</v>
      </c>
      <c r="H80" s="253">
        <f t="shared" si="3"/>
        <v>650</v>
      </c>
    </row>
    <row r="81" spans="2:17" ht="16.8" x14ac:dyDescent="0.25">
      <c r="B81" s="13" t="s">
        <v>44</v>
      </c>
      <c r="C81" s="14" t="s">
        <v>50</v>
      </c>
      <c r="D81" s="253"/>
      <c r="E81" s="253"/>
      <c r="F81" s="250">
        <f>('App9. Data for tables'!$F$51*'App9. Data for tables'!$F$52)</f>
        <v>9.9</v>
      </c>
      <c r="G81" s="249">
        <f>'App9. Data for tables'!$F$78</f>
        <v>10</v>
      </c>
      <c r="H81" s="253">
        <f t="shared" si="3"/>
        <v>99</v>
      </c>
    </row>
    <row r="82" spans="2:17" ht="16.8" x14ac:dyDescent="0.25">
      <c r="B82" s="13" t="s">
        <v>44</v>
      </c>
      <c r="C82" s="14" t="s">
        <v>172</v>
      </c>
      <c r="D82" s="253"/>
      <c r="E82" s="253"/>
      <c r="F82" s="250">
        <f>SUM('App9. Data for tables'!$F$53:$F$57)</f>
        <v>425</v>
      </c>
      <c r="G82" s="249">
        <f>'App9. Data for tables'!$F$78</f>
        <v>10</v>
      </c>
      <c r="H82" s="253">
        <f t="shared" si="3"/>
        <v>4250</v>
      </c>
    </row>
    <row r="83" spans="2:17" ht="16.8" x14ac:dyDescent="0.25">
      <c r="B83" s="13" t="s">
        <v>44</v>
      </c>
      <c r="C83" s="14" t="s">
        <v>173</v>
      </c>
      <c r="D83" s="253"/>
      <c r="E83" s="253"/>
      <c r="F83" s="250">
        <f>'App9. Data for tables'!$F$58</f>
        <v>270</v>
      </c>
      <c r="G83" s="249">
        <f>'App9. Data for tables'!$F$78</f>
        <v>10</v>
      </c>
      <c r="H83" s="253">
        <f t="shared" si="3"/>
        <v>2700</v>
      </c>
    </row>
    <row r="84" spans="2:17" ht="16.8" x14ac:dyDescent="0.25">
      <c r="B84" s="13" t="s">
        <v>44</v>
      </c>
      <c r="C84" s="14" t="s">
        <v>174</v>
      </c>
      <c r="D84" s="250"/>
      <c r="E84" s="37"/>
      <c r="F84" s="253">
        <f>'App9. Data for tables'!$F$68</f>
        <v>300</v>
      </c>
      <c r="G84" s="249">
        <f>'App9. Data for tables'!$F$78</f>
        <v>10</v>
      </c>
      <c r="H84" s="253">
        <f t="shared" si="3"/>
        <v>3000</v>
      </c>
      <c r="I84" s="51"/>
    </row>
    <row r="85" spans="2:17" x14ac:dyDescent="0.25">
      <c r="B85" s="13" t="s">
        <v>44</v>
      </c>
      <c r="C85" s="14" t="s">
        <v>59</v>
      </c>
      <c r="D85" s="253"/>
      <c r="E85" s="249"/>
      <c r="F85" s="250">
        <f>'App9. Data for tables'!$F$69</f>
        <v>190</v>
      </c>
      <c r="G85" s="249">
        <f>'App9. Data for tables'!$F$78</f>
        <v>10</v>
      </c>
      <c r="H85" s="253">
        <f t="shared" si="3"/>
        <v>1900</v>
      </c>
    </row>
    <row r="86" spans="2:17" x14ac:dyDescent="0.25">
      <c r="B86" s="13" t="s">
        <v>44</v>
      </c>
      <c r="C86" s="14" t="s">
        <v>60</v>
      </c>
      <c r="D86" s="253"/>
      <c r="E86" s="253"/>
      <c r="F86" s="250">
        <f>'App9. Data for tables'!$F$70</f>
        <v>200</v>
      </c>
      <c r="G86" s="249">
        <f>'App9. Data for tables'!$F$78</f>
        <v>10</v>
      </c>
      <c r="H86" s="253">
        <f t="shared" si="3"/>
        <v>2000</v>
      </c>
    </row>
    <row r="87" spans="2:17" x14ac:dyDescent="0.25">
      <c r="B87" s="13" t="s">
        <v>44</v>
      </c>
      <c r="C87" s="14" t="s">
        <v>175</v>
      </c>
      <c r="D87" s="253"/>
      <c r="E87" s="253"/>
      <c r="F87" s="250">
        <f>'App9. Data for tables'!$F$71</f>
        <v>600</v>
      </c>
      <c r="G87" s="249">
        <f>'App9. Data for tables'!$F$78</f>
        <v>10</v>
      </c>
      <c r="H87" s="253">
        <f t="shared" si="3"/>
        <v>6000</v>
      </c>
    </row>
    <row r="88" spans="2:17" ht="16.8" x14ac:dyDescent="0.25">
      <c r="B88" s="13" t="s">
        <v>44</v>
      </c>
      <c r="C88" s="14" t="s">
        <v>176</v>
      </c>
      <c r="D88" s="253"/>
      <c r="E88" s="253"/>
      <c r="F88" s="250">
        <f>'App9. Data for tables'!$F$72</f>
        <v>750</v>
      </c>
      <c r="G88" s="249">
        <f>'App9. Data for tables'!$F$78</f>
        <v>10</v>
      </c>
      <c r="H88" s="253">
        <f t="shared" si="3"/>
        <v>7500</v>
      </c>
    </row>
    <row r="89" spans="2:17" x14ac:dyDescent="0.25">
      <c r="B89" s="13" t="s">
        <v>44</v>
      </c>
      <c r="C89" s="14" t="s">
        <v>467</v>
      </c>
      <c r="D89" s="250">
        <f>'App9. Data for tables'!$F$59</f>
        <v>43</v>
      </c>
      <c r="E89" s="37">
        <f>'App9. Data for tables'!$F$7</f>
        <v>61</v>
      </c>
      <c r="F89" s="253">
        <f>D89*E89</f>
        <v>2623</v>
      </c>
      <c r="G89" s="249">
        <f>'App9. Data for tables'!$F$78</f>
        <v>10</v>
      </c>
      <c r="H89" s="253">
        <f t="shared" si="3"/>
        <v>26230</v>
      </c>
    </row>
    <row r="90" spans="2:17" x14ac:dyDescent="0.25">
      <c r="B90" s="13" t="s">
        <v>44</v>
      </c>
      <c r="C90" s="14" t="s">
        <v>468</v>
      </c>
      <c r="D90" s="250">
        <f>'App9. Data for tables'!$F$60</f>
        <v>11</v>
      </c>
      <c r="E90" s="37">
        <f>'App9. Data for tables'!$F$7</f>
        <v>61</v>
      </c>
      <c r="F90" s="253">
        <f>D90*E90</f>
        <v>671</v>
      </c>
      <c r="G90" s="249">
        <f>'App9. Data for tables'!$F$78</f>
        <v>10</v>
      </c>
      <c r="H90" s="253">
        <f t="shared" si="3"/>
        <v>6710</v>
      </c>
    </row>
    <row r="91" spans="2:17" x14ac:dyDescent="0.25">
      <c r="B91" s="13" t="s">
        <v>44</v>
      </c>
      <c r="C91" s="14" t="s">
        <v>469</v>
      </c>
      <c r="D91" s="250">
        <f>'App9. Data for tables'!$F$61</f>
        <v>11</v>
      </c>
      <c r="E91" s="37">
        <f>'App9. Data for tables'!$F$7</f>
        <v>61</v>
      </c>
      <c r="F91" s="253">
        <f>D91*E91</f>
        <v>671</v>
      </c>
      <c r="G91" s="249">
        <f>'App9. Data for tables'!$F$78</f>
        <v>10</v>
      </c>
      <c r="H91" s="253">
        <f t="shared" si="3"/>
        <v>6710</v>
      </c>
    </row>
    <row r="92" spans="2:17" x14ac:dyDescent="0.25">
      <c r="B92" s="13" t="s">
        <v>44</v>
      </c>
      <c r="C92" s="14" t="s">
        <v>178</v>
      </c>
      <c r="D92" s="250">
        <f>'App9. Data for tables'!$F$67</f>
        <v>276.5</v>
      </c>
      <c r="E92" s="37">
        <f>'App9. Data for tables'!$F$7</f>
        <v>61</v>
      </c>
      <c r="F92" s="253">
        <f>D92*E92</f>
        <v>16866.5</v>
      </c>
      <c r="G92" s="249">
        <f>'App9. Data for tables'!$F$78</f>
        <v>10</v>
      </c>
      <c r="H92" s="253">
        <f t="shared" si="3"/>
        <v>168665</v>
      </c>
    </row>
    <row r="93" spans="2:17" ht="36" customHeight="1" x14ac:dyDescent="0.25">
      <c r="B93" s="13" t="s">
        <v>45</v>
      </c>
      <c r="C93" s="14" t="s">
        <v>471</v>
      </c>
      <c r="D93" s="91"/>
      <c r="E93" s="91"/>
      <c r="F93" s="240">
        <f>'App9. Data for tables'!$G$22</f>
        <v>150</v>
      </c>
      <c r="G93" s="241">
        <f>'App9. Data for tables'!$G$78</f>
        <v>10</v>
      </c>
      <c r="H93" s="91">
        <f>F93*G93</f>
        <v>1500</v>
      </c>
      <c r="J93" s="13"/>
      <c r="K93" s="13"/>
      <c r="L93" s="13"/>
      <c r="M93" s="13"/>
      <c r="N93" s="13"/>
      <c r="O93" s="13"/>
      <c r="P93" s="13"/>
      <c r="Q93" s="13"/>
    </row>
    <row r="94" spans="2:17" ht="16.8" x14ac:dyDescent="0.25">
      <c r="B94" s="13" t="s">
        <v>45</v>
      </c>
      <c r="C94" s="14" t="s">
        <v>165</v>
      </c>
      <c r="D94" s="250"/>
      <c r="E94" s="249"/>
      <c r="F94" s="253">
        <f>('App9. Data for tables'!$G$28*'App9. Data for tables'!$G$29)+('App9. Data for tables'!$G$30*'App9. Data for tables'!$G$31)</f>
        <v>1021.25</v>
      </c>
      <c r="G94" s="241">
        <f>'App9. Data for tables'!$G$78</f>
        <v>10</v>
      </c>
      <c r="H94" s="91">
        <f t="shared" ref="H94:H114" si="4">F94*G94</f>
        <v>10212.5</v>
      </c>
      <c r="J94" s="13"/>
      <c r="K94" s="13"/>
      <c r="L94" s="13"/>
      <c r="M94" s="13"/>
      <c r="N94" s="13"/>
      <c r="O94" s="13"/>
      <c r="P94" s="13"/>
      <c r="Q94" s="13"/>
    </row>
    <row r="95" spans="2:17" ht="16.8" x14ac:dyDescent="0.25">
      <c r="B95" s="13" t="s">
        <v>45</v>
      </c>
      <c r="C95" s="14" t="s">
        <v>166</v>
      </c>
      <c r="D95" s="250"/>
      <c r="E95" s="249"/>
      <c r="F95" s="253">
        <f>('App9. Data for tables'!$G$32*'App9. Data for tables'!$G$33)+('App9. Data for tables'!$G$34*'App9. Data for tables'!$G$35)</f>
        <v>0</v>
      </c>
      <c r="G95" s="241">
        <f>'App9. Data for tables'!$G$78</f>
        <v>10</v>
      </c>
      <c r="H95" s="91">
        <f t="shared" si="4"/>
        <v>0</v>
      </c>
      <c r="J95" s="13"/>
      <c r="K95" s="13"/>
      <c r="L95" s="13"/>
      <c r="M95" s="13"/>
      <c r="N95" s="13"/>
      <c r="O95" s="13"/>
      <c r="P95" s="13"/>
      <c r="Q95" s="13"/>
    </row>
    <row r="96" spans="2:17" ht="16.8" x14ac:dyDescent="0.25">
      <c r="B96" s="13" t="s">
        <v>45</v>
      </c>
      <c r="C96" s="14" t="s">
        <v>167</v>
      </c>
      <c r="D96" s="253"/>
      <c r="E96" s="253"/>
      <c r="F96" s="250">
        <f>'App9. Data for tables'!$G$36+('App9. Data for tables'!$G$37*'App9. Data for tables'!$G$38)</f>
        <v>1787.32</v>
      </c>
      <c r="G96" s="241">
        <f>'App9. Data for tables'!$G$78</f>
        <v>10</v>
      </c>
      <c r="H96" s="91">
        <f t="shared" si="4"/>
        <v>17873.2</v>
      </c>
      <c r="J96" s="13"/>
      <c r="K96" s="13"/>
      <c r="L96" s="13"/>
      <c r="M96" s="13"/>
      <c r="N96" s="13"/>
      <c r="O96" s="13"/>
      <c r="P96" s="13"/>
      <c r="Q96" s="13"/>
    </row>
    <row r="97" spans="2:17" ht="16.8" x14ac:dyDescent="0.25">
      <c r="B97" s="13" t="s">
        <v>45</v>
      </c>
      <c r="C97" s="14" t="s">
        <v>465</v>
      </c>
      <c r="D97" s="253"/>
      <c r="E97" s="253"/>
      <c r="F97" s="250">
        <f>'App9. Data for tables'!$G$39</f>
        <v>295</v>
      </c>
      <c r="G97" s="241">
        <f>'App9. Data for tables'!$G$78</f>
        <v>10</v>
      </c>
      <c r="H97" s="91">
        <f t="shared" si="4"/>
        <v>2950</v>
      </c>
      <c r="I97" s="32"/>
      <c r="J97" s="13"/>
      <c r="K97" s="161"/>
      <c r="L97" s="13"/>
      <c r="M97" s="13"/>
      <c r="N97" s="161"/>
      <c r="O97" s="13"/>
      <c r="P97" s="13"/>
      <c r="Q97" s="161"/>
    </row>
    <row r="98" spans="2:17" ht="16.8" x14ac:dyDescent="0.25">
      <c r="B98" s="13" t="s">
        <v>45</v>
      </c>
      <c r="C98" s="14" t="s">
        <v>466</v>
      </c>
      <c r="D98" s="253"/>
      <c r="E98" s="253"/>
      <c r="F98" s="250">
        <f>('App9. Data for tables'!$G$40*'App9. Data for tables'!$G$41)</f>
        <v>24.75</v>
      </c>
      <c r="G98" s="241">
        <f>'App9. Data for tables'!$G$78</f>
        <v>10</v>
      </c>
      <c r="H98" s="91">
        <f t="shared" si="4"/>
        <v>247.5</v>
      </c>
      <c r="I98" s="32"/>
      <c r="J98" s="13"/>
      <c r="K98" s="161"/>
      <c r="L98" s="13"/>
      <c r="M98" s="13"/>
      <c r="N98" s="161"/>
      <c r="O98" s="13"/>
      <c r="P98" s="13"/>
      <c r="Q98" s="161"/>
    </row>
    <row r="99" spans="2:17" x14ac:dyDescent="0.25">
      <c r="B99" s="13" t="s">
        <v>45</v>
      </c>
      <c r="C99" s="14" t="s">
        <v>168</v>
      </c>
      <c r="D99" s="250"/>
      <c r="E99" s="37"/>
      <c r="F99" s="253">
        <f>'App9. Data for tables'!$G$42</f>
        <v>170</v>
      </c>
      <c r="G99" s="241">
        <f>'App9. Data for tables'!$G$78</f>
        <v>10</v>
      </c>
      <c r="H99" s="91">
        <f t="shared" si="4"/>
        <v>1700</v>
      </c>
      <c r="J99" s="13"/>
      <c r="K99" s="13"/>
      <c r="L99" s="13"/>
      <c r="M99" s="13"/>
      <c r="N99" s="13"/>
      <c r="O99" s="13"/>
      <c r="P99" s="13"/>
      <c r="Q99" s="13"/>
    </row>
    <row r="100" spans="2:17" x14ac:dyDescent="0.25">
      <c r="B100" s="13" t="s">
        <v>45</v>
      </c>
      <c r="C100" s="14" t="s">
        <v>169</v>
      </c>
      <c r="D100" s="253"/>
      <c r="E100" s="253"/>
      <c r="F100" s="250">
        <f>'App9. Data for tables'!$G$43</f>
        <v>195</v>
      </c>
      <c r="G100" s="241">
        <f>'App9. Data for tables'!$G$78</f>
        <v>10</v>
      </c>
      <c r="H100" s="91">
        <f t="shared" si="4"/>
        <v>1950</v>
      </c>
      <c r="J100" s="13"/>
      <c r="K100" s="13"/>
      <c r="L100" s="13"/>
      <c r="M100" s="13"/>
      <c r="N100" s="13"/>
      <c r="O100" s="13"/>
      <c r="P100" s="13"/>
      <c r="Q100" s="13"/>
    </row>
    <row r="101" spans="2:17" ht="16.8" x14ac:dyDescent="0.25">
      <c r="B101" s="13" t="s">
        <v>45</v>
      </c>
      <c r="C101" s="14" t="s">
        <v>177</v>
      </c>
      <c r="D101" s="253"/>
      <c r="E101" s="253"/>
      <c r="F101" s="250">
        <f>('App9. Data for tables'!$G$44*'App9. Data for tables'!$G$45)</f>
        <v>361.27</v>
      </c>
      <c r="G101" s="241">
        <f>'App9. Data for tables'!$G$78</f>
        <v>10</v>
      </c>
      <c r="H101" s="91">
        <f t="shared" si="4"/>
        <v>3612.7</v>
      </c>
      <c r="J101" s="13"/>
      <c r="K101" s="13"/>
      <c r="L101" s="13"/>
      <c r="M101" s="13"/>
      <c r="N101" s="13"/>
      <c r="O101" s="13"/>
      <c r="P101" s="13"/>
      <c r="Q101" s="13"/>
    </row>
    <row r="102" spans="2:17" x14ac:dyDescent="0.25">
      <c r="B102" s="13" t="s">
        <v>45</v>
      </c>
      <c r="C102" s="14" t="s">
        <v>51</v>
      </c>
      <c r="D102" s="250"/>
      <c r="E102" s="37"/>
      <c r="F102" s="253">
        <f>'App9. Data for tables'!$G$46*'App9. Data for tables'!$G$47</f>
        <v>65</v>
      </c>
      <c r="G102" s="241">
        <f>'App9. Data for tables'!$G$78</f>
        <v>10</v>
      </c>
      <c r="H102" s="91">
        <f t="shared" si="4"/>
        <v>650</v>
      </c>
      <c r="J102" s="13"/>
      <c r="K102" s="13"/>
      <c r="L102" s="13"/>
      <c r="M102" s="13"/>
      <c r="N102" s="13"/>
      <c r="O102" s="13"/>
      <c r="P102" s="13"/>
      <c r="Q102" s="13"/>
    </row>
    <row r="103" spans="2:17" ht="16.8" x14ac:dyDescent="0.25">
      <c r="B103" s="13" t="s">
        <v>45</v>
      </c>
      <c r="C103" s="14" t="s">
        <v>50</v>
      </c>
      <c r="D103" s="253"/>
      <c r="E103" s="253"/>
      <c r="F103" s="250">
        <f>('App9. Data for tables'!$G$51*'App9. Data for tables'!$G$52)</f>
        <v>9.9</v>
      </c>
      <c r="G103" s="241">
        <f>'App9. Data for tables'!$G$78</f>
        <v>10</v>
      </c>
      <c r="H103" s="91">
        <f t="shared" si="4"/>
        <v>99</v>
      </c>
      <c r="J103" s="13"/>
      <c r="K103" s="13"/>
      <c r="L103" s="13"/>
      <c r="M103" s="13"/>
      <c r="N103" s="13"/>
      <c r="O103" s="13"/>
      <c r="P103" s="13"/>
      <c r="Q103" s="13"/>
    </row>
    <row r="104" spans="2:17" ht="16.8" x14ac:dyDescent="0.25">
      <c r="B104" s="13" t="s">
        <v>45</v>
      </c>
      <c r="C104" s="14" t="s">
        <v>172</v>
      </c>
      <c r="D104" s="253"/>
      <c r="E104" s="253"/>
      <c r="F104" s="250">
        <f>SUM('App9. Data for tables'!$G$53:$G$57)</f>
        <v>425</v>
      </c>
      <c r="G104" s="241">
        <f>'App9. Data for tables'!$G$78</f>
        <v>10</v>
      </c>
      <c r="H104" s="91">
        <f t="shared" si="4"/>
        <v>4250</v>
      </c>
      <c r="J104" s="13"/>
      <c r="K104" s="13"/>
      <c r="L104" s="13"/>
      <c r="M104" s="13"/>
      <c r="N104" s="13"/>
      <c r="O104" s="13"/>
      <c r="P104" s="13"/>
      <c r="Q104" s="13"/>
    </row>
    <row r="105" spans="2:17" ht="16.8" x14ac:dyDescent="0.25">
      <c r="B105" s="13" t="s">
        <v>45</v>
      </c>
      <c r="C105" s="14" t="s">
        <v>173</v>
      </c>
      <c r="D105" s="253"/>
      <c r="E105" s="253"/>
      <c r="F105" s="250">
        <f>'App9. Data for tables'!$G$58</f>
        <v>270</v>
      </c>
      <c r="G105" s="241">
        <f>'App9. Data for tables'!$G$78</f>
        <v>10</v>
      </c>
      <c r="H105" s="91">
        <f t="shared" si="4"/>
        <v>2700</v>
      </c>
      <c r="J105" s="13"/>
      <c r="K105" s="13"/>
      <c r="L105" s="13"/>
      <c r="M105" s="13"/>
      <c r="N105" s="13"/>
      <c r="O105" s="13"/>
      <c r="P105" s="13"/>
      <c r="Q105" s="13"/>
    </row>
    <row r="106" spans="2:17" ht="16.8" x14ac:dyDescent="0.25">
      <c r="B106" s="13" t="s">
        <v>45</v>
      </c>
      <c r="C106" s="14" t="s">
        <v>174</v>
      </c>
      <c r="D106" s="250"/>
      <c r="E106" s="37"/>
      <c r="F106" s="253">
        <f>'App9. Data for tables'!$G$68</f>
        <v>300</v>
      </c>
      <c r="G106" s="241">
        <f>'App9. Data for tables'!$G$78</f>
        <v>10</v>
      </c>
      <c r="H106" s="91">
        <f t="shared" si="4"/>
        <v>3000</v>
      </c>
      <c r="J106" s="13"/>
      <c r="K106" s="13"/>
      <c r="L106" s="13"/>
      <c r="M106" s="13"/>
      <c r="N106" s="13"/>
      <c r="O106" s="13"/>
      <c r="P106" s="13"/>
      <c r="Q106" s="13"/>
    </row>
    <row r="107" spans="2:17" x14ac:dyDescent="0.25">
      <c r="B107" s="13" t="s">
        <v>45</v>
      </c>
      <c r="C107" s="14" t="s">
        <v>59</v>
      </c>
      <c r="D107" s="253"/>
      <c r="E107" s="249"/>
      <c r="F107" s="250">
        <f>'App9. Data for tables'!$G$69</f>
        <v>190</v>
      </c>
      <c r="G107" s="241">
        <f>'App9. Data for tables'!$G$78</f>
        <v>10</v>
      </c>
      <c r="H107" s="91">
        <f t="shared" si="4"/>
        <v>1900</v>
      </c>
      <c r="J107" s="13"/>
      <c r="K107" s="13"/>
      <c r="L107" s="13"/>
      <c r="M107" s="13"/>
      <c r="N107" s="13"/>
      <c r="O107" s="13"/>
      <c r="P107" s="13"/>
      <c r="Q107" s="13"/>
    </row>
    <row r="108" spans="2:17" x14ac:dyDescent="0.25">
      <c r="B108" s="13" t="s">
        <v>45</v>
      </c>
      <c r="C108" s="14" t="s">
        <v>60</v>
      </c>
      <c r="D108" s="253"/>
      <c r="E108" s="253"/>
      <c r="F108" s="250">
        <f>'App9. Data for tables'!$G$70</f>
        <v>200</v>
      </c>
      <c r="G108" s="241">
        <f>'App9. Data for tables'!$G$78</f>
        <v>10</v>
      </c>
      <c r="H108" s="91">
        <f t="shared" si="4"/>
        <v>2000</v>
      </c>
    </row>
    <row r="109" spans="2:17" x14ac:dyDescent="0.25">
      <c r="B109" s="13" t="s">
        <v>45</v>
      </c>
      <c r="C109" s="14" t="s">
        <v>175</v>
      </c>
      <c r="D109" s="253"/>
      <c r="E109" s="253"/>
      <c r="F109" s="250">
        <f>'App9. Data for tables'!$G$71</f>
        <v>600</v>
      </c>
      <c r="G109" s="241">
        <f>'App9. Data for tables'!$G$78</f>
        <v>10</v>
      </c>
      <c r="H109" s="91">
        <f t="shared" si="4"/>
        <v>6000</v>
      </c>
    </row>
    <row r="110" spans="2:17" ht="16.8" x14ac:dyDescent="0.25">
      <c r="B110" s="13" t="s">
        <v>45</v>
      </c>
      <c r="C110" s="14" t="s">
        <v>176</v>
      </c>
      <c r="D110" s="253"/>
      <c r="E110" s="253"/>
      <c r="F110" s="250">
        <f>'App9. Data for tables'!$G$72</f>
        <v>750</v>
      </c>
      <c r="G110" s="241">
        <f>'App9. Data for tables'!$G$78</f>
        <v>10</v>
      </c>
      <c r="H110" s="91">
        <f t="shared" si="4"/>
        <v>7500</v>
      </c>
    </row>
    <row r="111" spans="2:17" x14ac:dyDescent="0.25">
      <c r="B111" s="13" t="s">
        <v>45</v>
      </c>
      <c r="C111" s="14" t="s">
        <v>467</v>
      </c>
      <c r="D111" s="250">
        <f>'App9. Data for tables'!$G$59</f>
        <v>43</v>
      </c>
      <c r="E111" s="249">
        <f>'App9. Data for tables'!$G$7</f>
        <v>79</v>
      </c>
      <c r="F111" s="253">
        <f>D111*E111</f>
        <v>3397</v>
      </c>
      <c r="G111" s="241">
        <f>'App9. Data for tables'!$G$78</f>
        <v>10</v>
      </c>
      <c r="H111" s="91">
        <f t="shared" si="4"/>
        <v>33970</v>
      </c>
    </row>
    <row r="112" spans="2:17" x14ac:dyDescent="0.25">
      <c r="B112" s="13" t="s">
        <v>45</v>
      </c>
      <c r="C112" s="14" t="s">
        <v>468</v>
      </c>
      <c r="D112" s="250">
        <f>'App9. Data for tables'!$G$60</f>
        <v>11</v>
      </c>
      <c r="E112" s="249">
        <f>'App9. Data for tables'!$G$7</f>
        <v>79</v>
      </c>
      <c r="F112" s="253">
        <f>D112*E112</f>
        <v>869</v>
      </c>
      <c r="G112" s="241">
        <f>'App9. Data for tables'!$G$78</f>
        <v>10</v>
      </c>
      <c r="H112" s="91">
        <f t="shared" si="4"/>
        <v>8690</v>
      </c>
    </row>
    <row r="113" spans="2:8" x14ac:dyDescent="0.25">
      <c r="B113" s="13" t="s">
        <v>45</v>
      </c>
      <c r="C113" s="14" t="s">
        <v>469</v>
      </c>
      <c r="D113" s="250">
        <f>'App9. Data for tables'!$G$61</f>
        <v>11</v>
      </c>
      <c r="E113" s="249">
        <f>'App9. Data for tables'!$G$7</f>
        <v>79</v>
      </c>
      <c r="F113" s="253">
        <f>D113*E113</f>
        <v>869</v>
      </c>
      <c r="G113" s="241">
        <f>'App9. Data for tables'!$G$78</f>
        <v>10</v>
      </c>
      <c r="H113" s="91">
        <f t="shared" si="4"/>
        <v>8690</v>
      </c>
    </row>
    <row r="114" spans="2:8" x14ac:dyDescent="0.25">
      <c r="B114" s="244" t="s">
        <v>45</v>
      </c>
      <c r="C114" s="212" t="s">
        <v>178</v>
      </c>
      <c r="D114" s="255">
        <f>'App9. Data for tables'!$G$67</f>
        <v>276.5</v>
      </c>
      <c r="E114" s="251">
        <f>'App9. Data for tables'!$G$7</f>
        <v>79</v>
      </c>
      <c r="F114" s="256">
        <f>D114*E114</f>
        <v>21843.5</v>
      </c>
      <c r="G114" s="245">
        <f>'App9. Data for tables'!$G$78</f>
        <v>10</v>
      </c>
      <c r="H114" s="147">
        <f t="shared" si="4"/>
        <v>218435</v>
      </c>
    </row>
    <row r="115" spans="2:8" x14ac:dyDescent="0.25">
      <c r="B115" s="14" t="s">
        <v>81</v>
      </c>
      <c r="C115" s="10"/>
      <c r="D115" s="250"/>
      <c r="E115" s="249"/>
      <c r="F115" s="253"/>
      <c r="G115" s="249"/>
      <c r="H115" s="253"/>
    </row>
    <row r="116" spans="2:8" x14ac:dyDescent="0.25">
      <c r="B116" s="258" t="s">
        <v>179</v>
      </c>
      <c r="C116" s="10"/>
      <c r="D116" s="252"/>
    </row>
    <row r="117" spans="2:8" x14ac:dyDescent="0.25">
      <c r="B117" s="258" t="s">
        <v>180</v>
      </c>
      <c r="C117" s="10"/>
      <c r="D117" s="252"/>
    </row>
    <row r="118" spans="2:8" x14ac:dyDescent="0.25">
      <c r="B118" s="258" t="s">
        <v>181</v>
      </c>
      <c r="C118" s="10"/>
      <c r="D118" s="252"/>
    </row>
    <row r="119" spans="2:8" x14ac:dyDescent="0.25">
      <c r="B119" s="258" t="s">
        <v>182</v>
      </c>
      <c r="C119" s="10"/>
      <c r="D119" s="252"/>
    </row>
    <row r="120" spans="2:8" x14ac:dyDescent="0.25">
      <c r="B120" s="258" t="s">
        <v>183</v>
      </c>
      <c r="C120" s="10"/>
    </row>
    <row r="121" spans="2:8" x14ac:dyDescent="0.25">
      <c r="B121" s="258" t="s">
        <v>184</v>
      </c>
      <c r="C121" s="10"/>
    </row>
    <row r="122" spans="2:8" ht="28.95" customHeight="1" x14ac:dyDescent="0.25">
      <c r="B122" s="307" t="s">
        <v>185</v>
      </c>
      <c r="C122" s="307"/>
      <c r="D122" s="307"/>
      <c r="E122" s="307"/>
      <c r="F122" s="307"/>
      <c r="G122" s="307"/>
      <c r="H122" s="307"/>
    </row>
    <row r="123" spans="2:8" ht="16.95" customHeight="1" x14ac:dyDescent="0.25">
      <c r="B123" s="258" t="s">
        <v>186</v>
      </c>
      <c r="C123" s="10"/>
    </row>
    <row r="124" spans="2:8" ht="13.8" customHeight="1" x14ac:dyDescent="0.25">
      <c r="B124" s="307" t="s">
        <v>187</v>
      </c>
      <c r="C124" s="307"/>
      <c r="D124" s="307"/>
      <c r="E124" s="307"/>
      <c r="F124" s="307"/>
      <c r="G124" s="307"/>
      <c r="H124" s="307"/>
    </row>
    <row r="125" spans="2:8" x14ac:dyDescent="0.25">
      <c r="B125" s="258" t="s">
        <v>188</v>
      </c>
      <c r="C125" s="10"/>
    </row>
    <row r="126" spans="2:8" x14ac:dyDescent="0.25">
      <c r="B126" s="258" t="s">
        <v>189</v>
      </c>
      <c r="C126" s="10"/>
    </row>
    <row r="127" spans="2:8" x14ac:dyDescent="0.25">
      <c r="B127" s="258" t="s">
        <v>190</v>
      </c>
      <c r="C127" s="10"/>
    </row>
    <row r="128" spans="2:8" x14ac:dyDescent="0.25">
      <c r="B128" s="258" t="s">
        <v>191</v>
      </c>
      <c r="C128" s="10"/>
    </row>
    <row r="129" spans="2:3" x14ac:dyDescent="0.25">
      <c r="B129" s="258" t="s">
        <v>192</v>
      </c>
      <c r="C129" s="10"/>
    </row>
  </sheetData>
  <protectedRanges>
    <protectedRange sqref="D4:F114" name="Range2"/>
    <protectedRange sqref="D115:F115" name="Range2_1"/>
  </protectedRanges>
  <mergeCells count="3">
    <mergeCell ref="B2:H2"/>
    <mergeCell ref="B122:H122"/>
    <mergeCell ref="B124:H124"/>
  </mergeCells>
  <phoneticPr fontId="17" type="noConversion"/>
  <pageMargins left="0.7" right="0.7" top="0.75" bottom="0.75" header="0.3" footer="0.3"/>
  <pageSetup orientation="portrait"/>
  <ignoredErrors>
    <ignoredError sqref="D9:D11 D97:E98 F107 D111:D114 F111:F114 F15 F45:F48 F29:F32 D75:E76 D84:E84 D106:F106 D108:F110 D63:E65 D86:E88 F12:F13 D55:E56 F4 F42:F43 D59:E60 F70:F71 F35 F72:F74 F51 F18 F39:F40 F41 F25:F27 F58:F65 F5:F8 F9:F10 F19:F24 F33 F36:F37 F52:F57 D66:E69 F66:F69 F75:F88 D89:E92 F94:F96 F89:F92 F97:F105 F93" unlockedFormula="1"/>
    <ignoredError sqref="G9:G10"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workbookViewId="0">
      <selection activeCell="B2" sqref="B2:G2"/>
    </sheetView>
  </sheetViews>
  <sheetFormatPr defaultColWidth="9.109375" defaultRowHeight="13.8" x14ac:dyDescent="0.25"/>
  <cols>
    <col min="1" max="1" width="6.6640625" style="10" customWidth="1"/>
    <col min="2" max="2" width="52.5546875" style="9" customWidth="1"/>
    <col min="3" max="3" width="10.5546875" style="93" customWidth="1"/>
    <col min="4" max="4" width="12.6640625" style="93" customWidth="1"/>
    <col min="5" max="5" width="11" style="93" customWidth="1"/>
    <col min="6" max="6" width="12.6640625" style="93" customWidth="1"/>
    <col min="7" max="7" width="14.44140625" style="93" customWidth="1"/>
    <col min="8" max="8" width="4.44140625" style="93" customWidth="1"/>
    <col min="9" max="10" width="9.109375" style="9"/>
    <col min="11" max="16384" width="9.109375" style="10"/>
  </cols>
  <sheetData>
    <row r="2" spans="2:10" ht="38.25" customHeight="1" x14ac:dyDescent="0.3">
      <c r="B2" s="316" t="s">
        <v>473</v>
      </c>
      <c r="C2" s="316"/>
      <c r="D2" s="316"/>
      <c r="E2" s="316"/>
      <c r="F2" s="316"/>
      <c r="G2" s="316"/>
    </row>
    <row r="3" spans="2:10" s="13" customFormat="1" ht="27.6" x14ac:dyDescent="0.25">
      <c r="B3" s="247" t="s">
        <v>102</v>
      </c>
      <c r="C3" s="259" t="s">
        <v>158</v>
      </c>
      <c r="D3" s="259" t="s">
        <v>159</v>
      </c>
      <c r="E3" s="259" t="s">
        <v>160</v>
      </c>
      <c r="F3" s="259" t="s">
        <v>136</v>
      </c>
      <c r="G3" s="260" t="s">
        <v>161</v>
      </c>
      <c r="H3" s="93"/>
      <c r="I3" s="9"/>
      <c r="J3" s="9"/>
    </row>
    <row r="4" spans="2:10" x14ac:dyDescent="0.25">
      <c r="B4" s="14" t="s">
        <v>474</v>
      </c>
      <c r="C4" s="253"/>
      <c r="D4" s="253"/>
      <c r="E4" s="250">
        <f>'App9. Data for tables'!$H$22</f>
        <v>150</v>
      </c>
      <c r="F4" s="249">
        <f>'App9. Data for tables'!$H$78</f>
        <v>10</v>
      </c>
      <c r="G4" s="253">
        <f t="shared" ref="G4:G25" si="0">E4*F4</f>
        <v>1500</v>
      </c>
      <c r="I4" s="13"/>
      <c r="J4" s="13"/>
    </row>
    <row r="5" spans="2:10" ht="16.8" x14ac:dyDescent="0.25">
      <c r="B5" s="9" t="s">
        <v>193</v>
      </c>
      <c r="C5" s="250"/>
      <c r="D5" s="249"/>
      <c r="E5" s="253">
        <f>('App9. Data for tables'!$H$28*'App9. Data for tables'!$H$29)+('App9. Data for tables'!$H$30*'App9. Data for tables'!$H$31)</f>
        <v>1306.25</v>
      </c>
      <c r="F5" s="249">
        <f>'App9. Data for tables'!$H$78</f>
        <v>10</v>
      </c>
      <c r="G5" s="253">
        <f t="shared" si="0"/>
        <v>13062.5</v>
      </c>
    </row>
    <row r="6" spans="2:10" ht="16.8" x14ac:dyDescent="0.25">
      <c r="B6" s="9" t="s">
        <v>194</v>
      </c>
      <c r="C6" s="250"/>
      <c r="D6" s="249"/>
      <c r="E6" s="253">
        <f>('App9. Data for tables'!$H$32*'App9. Data for tables'!$H$33)</f>
        <v>0</v>
      </c>
      <c r="F6" s="249">
        <f>'App9. Data for tables'!$H$78</f>
        <v>10</v>
      </c>
      <c r="G6" s="253">
        <f t="shared" si="0"/>
        <v>0</v>
      </c>
    </row>
    <row r="7" spans="2:10" ht="16.8" x14ac:dyDescent="0.25">
      <c r="B7" s="9" t="s">
        <v>195</v>
      </c>
      <c r="C7" s="253"/>
      <c r="D7" s="249"/>
      <c r="E7" s="250">
        <f>'App9. Data for tables'!$H$36+('App9. Data for tables'!$H$37*'App9. Data for tables'!$H$38)</f>
        <v>1787.32</v>
      </c>
      <c r="F7" s="249">
        <f>'App9. Data for tables'!$H$78</f>
        <v>10</v>
      </c>
      <c r="G7" s="253">
        <f t="shared" si="0"/>
        <v>17873.2</v>
      </c>
    </row>
    <row r="8" spans="2:10" ht="16.8" x14ac:dyDescent="0.25">
      <c r="B8" s="14" t="s">
        <v>475</v>
      </c>
      <c r="C8" s="250"/>
      <c r="D8" s="37"/>
      <c r="E8" s="253">
        <f>'App9. Data for tables'!$H$39</f>
        <v>370</v>
      </c>
      <c r="F8" s="249">
        <f>'App9. Data for tables'!$H$78</f>
        <v>10</v>
      </c>
      <c r="G8" s="253">
        <f t="shared" si="0"/>
        <v>3700</v>
      </c>
    </row>
    <row r="9" spans="2:10" ht="16.8" x14ac:dyDescent="0.25">
      <c r="B9" s="14" t="s">
        <v>476</v>
      </c>
      <c r="C9" s="250"/>
      <c r="D9" s="37"/>
      <c r="E9" s="253">
        <f>('App9. Data for tables'!$H$40*'App9. Data for tables'!$H$41)</f>
        <v>24.75</v>
      </c>
      <c r="F9" s="249">
        <f>'App9. Data for tables'!$H$78</f>
        <v>10</v>
      </c>
      <c r="G9" s="253">
        <f t="shared" si="0"/>
        <v>247.5</v>
      </c>
    </row>
    <row r="10" spans="2:10" x14ac:dyDescent="0.25">
      <c r="B10" s="14" t="s">
        <v>168</v>
      </c>
      <c r="C10" s="250"/>
      <c r="D10" s="37"/>
      <c r="E10" s="250">
        <f>'App9. Data for tables'!$H$42</f>
        <v>170</v>
      </c>
      <c r="F10" s="249">
        <f>'App9. Data for tables'!$H$78</f>
        <v>10</v>
      </c>
      <c r="G10" s="253">
        <f t="shared" si="0"/>
        <v>1700</v>
      </c>
    </row>
    <row r="11" spans="2:10" x14ac:dyDescent="0.25">
      <c r="B11" s="14" t="s">
        <v>169</v>
      </c>
      <c r="C11" s="253"/>
      <c r="D11" s="253"/>
      <c r="E11" s="250">
        <f>'App9. Data for tables'!$H$43</f>
        <v>195</v>
      </c>
      <c r="F11" s="249">
        <f>'App9. Data for tables'!$H$78</f>
        <v>10</v>
      </c>
      <c r="G11" s="253">
        <f t="shared" si="0"/>
        <v>1950</v>
      </c>
    </row>
    <row r="12" spans="2:10" ht="16.8" x14ac:dyDescent="0.25">
      <c r="B12" s="14" t="s">
        <v>196</v>
      </c>
      <c r="C12" s="253"/>
      <c r="D12" s="253"/>
      <c r="E12" s="250">
        <f>('App9. Data for tables'!$H$44*'App9. Data for tables'!$H$45)</f>
        <v>361.27</v>
      </c>
      <c r="F12" s="249">
        <f>'App9. Data for tables'!$H$78</f>
        <v>10</v>
      </c>
      <c r="G12" s="253">
        <f t="shared" si="0"/>
        <v>3612.7</v>
      </c>
    </row>
    <row r="13" spans="2:10" x14ac:dyDescent="0.25">
      <c r="B13" s="9" t="s">
        <v>51</v>
      </c>
      <c r="C13" s="250"/>
      <c r="D13" s="37"/>
      <c r="E13" s="253">
        <f>'App9. Data for tables'!$H$46*'App9. Data for tables'!$H$47</f>
        <v>65</v>
      </c>
      <c r="F13" s="249">
        <f>'App9. Data for tables'!$H$78</f>
        <v>10</v>
      </c>
      <c r="G13" s="253">
        <f t="shared" si="0"/>
        <v>650</v>
      </c>
    </row>
    <row r="14" spans="2:10" ht="16.8" x14ac:dyDescent="0.25">
      <c r="B14" s="14" t="s">
        <v>197</v>
      </c>
      <c r="C14" s="253"/>
      <c r="D14" s="253"/>
      <c r="E14" s="250">
        <f>('App9. Data for tables'!$H$51*'App9. Data for tables'!$H$52)</f>
        <v>9.9</v>
      </c>
      <c r="F14" s="249">
        <f>'App9. Data for tables'!$H$78</f>
        <v>10</v>
      </c>
      <c r="G14" s="253">
        <f t="shared" si="0"/>
        <v>99</v>
      </c>
    </row>
    <row r="15" spans="2:10" ht="16.8" x14ac:dyDescent="0.25">
      <c r="B15" s="14" t="s">
        <v>198</v>
      </c>
      <c r="C15" s="253"/>
      <c r="D15" s="253"/>
      <c r="E15" s="250">
        <f>SUM('App9. Data for tables'!$H$53:$H$57)</f>
        <v>425</v>
      </c>
      <c r="F15" s="249">
        <f>'App9. Data for tables'!$H$78</f>
        <v>10</v>
      </c>
      <c r="G15" s="253">
        <f t="shared" si="0"/>
        <v>4250</v>
      </c>
    </row>
    <row r="16" spans="2:10" ht="16.8" x14ac:dyDescent="0.25">
      <c r="B16" s="14" t="s">
        <v>199</v>
      </c>
      <c r="C16" s="253"/>
      <c r="D16" s="253"/>
      <c r="E16" s="250">
        <f>'App9. Data for tables'!$H$58</f>
        <v>270</v>
      </c>
      <c r="F16" s="249">
        <f>'App9. Data for tables'!$H$78</f>
        <v>10</v>
      </c>
      <c r="G16" s="253">
        <f t="shared" si="0"/>
        <v>2700</v>
      </c>
    </row>
    <row r="17" spans="2:7" ht="16.8" x14ac:dyDescent="0.25">
      <c r="B17" s="14" t="s">
        <v>52</v>
      </c>
      <c r="C17" s="250"/>
      <c r="D17" s="37"/>
      <c r="E17" s="253">
        <f>'App9. Data for tables'!$H$68</f>
        <v>300</v>
      </c>
      <c r="F17" s="249">
        <f>'App9. Data for tables'!$H$78</f>
        <v>10</v>
      </c>
      <c r="G17" s="253">
        <f t="shared" si="0"/>
        <v>3000</v>
      </c>
    </row>
    <row r="18" spans="2:7" x14ac:dyDescent="0.25">
      <c r="B18" s="14" t="s">
        <v>59</v>
      </c>
      <c r="C18" s="253"/>
      <c r="D18" s="249"/>
      <c r="E18" s="250">
        <f>'App9. Data for tables'!$H$69</f>
        <v>190</v>
      </c>
      <c r="F18" s="249">
        <f>'App9. Data for tables'!$H$78</f>
        <v>10</v>
      </c>
      <c r="G18" s="253">
        <f t="shared" si="0"/>
        <v>1900</v>
      </c>
    </row>
    <row r="19" spans="2:7" x14ac:dyDescent="0.25">
      <c r="B19" s="14" t="s">
        <v>60</v>
      </c>
      <c r="C19" s="253"/>
      <c r="D19" s="253"/>
      <c r="E19" s="250">
        <f>'App9. Data for tables'!$H$70</f>
        <v>200</v>
      </c>
      <c r="F19" s="249">
        <f>'App9. Data for tables'!$H$78</f>
        <v>10</v>
      </c>
      <c r="G19" s="253">
        <f t="shared" si="0"/>
        <v>2000</v>
      </c>
    </row>
    <row r="20" spans="2:7" x14ac:dyDescent="0.25">
      <c r="B20" s="14" t="s">
        <v>200</v>
      </c>
      <c r="C20" s="253"/>
      <c r="D20" s="253"/>
      <c r="E20" s="250">
        <f>'App9. Data for tables'!$H$71</f>
        <v>600</v>
      </c>
      <c r="F20" s="249">
        <f>'App9. Data for tables'!$H$78</f>
        <v>10</v>
      </c>
      <c r="G20" s="253">
        <f t="shared" si="0"/>
        <v>6000</v>
      </c>
    </row>
    <row r="21" spans="2:7" ht="16.8" x14ac:dyDescent="0.25">
      <c r="B21" s="14" t="s">
        <v>201</v>
      </c>
      <c r="C21" s="253"/>
      <c r="D21" s="253"/>
      <c r="E21" s="250">
        <f>'App9. Data for tables'!$H$72</f>
        <v>750</v>
      </c>
      <c r="F21" s="249">
        <f>'App9. Data for tables'!$H$78</f>
        <v>10</v>
      </c>
      <c r="G21" s="253">
        <f t="shared" si="0"/>
        <v>7500</v>
      </c>
    </row>
    <row r="22" spans="2:7" x14ac:dyDescent="0.25">
      <c r="B22" s="14" t="s">
        <v>467</v>
      </c>
      <c r="C22" s="250">
        <f>'App9. Data for tables'!$H$59</f>
        <v>43</v>
      </c>
      <c r="D22" s="249">
        <f>'App9. Data for tables'!$H$7</f>
        <v>97</v>
      </c>
      <c r="E22" s="253">
        <f>C22*D22</f>
        <v>4171</v>
      </c>
      <c r="F22" s="249">
        <f>'App9. Data for tables'!$H$78</f>
        <v>10</v>
      </c>
      <c r="G22" s="253">
        <f t="shared" si="0"/>
        <v>41710</v>
      </c>
    </row>
    <row r="23" spans="2:7" x14ac:dyDescent="0.25">
      <c r="B23" s="14" t="s">
        <v>468</v>
      </c>
      <c r="C23" s="250">
        <f>'App9. Data for tables'!$H$60</f>
        <v>11</v>
      </c>
      <c r="D23" s="249">
        <f>'App9. Data for tables'!$H$7</f>
        <v>97</v>
      </c>
      <c r="E23" s="253">
        <f>C23*D23</f>
        <v>1067</v>
      </c>
      <c r="F23" s="249">
        <f>'App9. Data for tables'!$H$78</f>
        <v>10</v>
      </c>
      <c r="G23" s="253">
        <f t="shared" si="0"/>
        <v>10670</v>
      </c>
    </row>
    <row r="24" spans="2:7" x14ac:dyDescent="0.25">
      <c r="B24" s="14" t="s">
        <v>469</v>
      </c>
      <c r="C24" s="250">
        <f>'App9. Data for tables'!$H$61</f>
        <v>11</v>
      </c>
      <c r="D24" s="249">
        <f>'App9. Data for tables'!$H$7</f>
        <v>97</v>
      </c>
      <c r="E24" s="253">
        <f>C24*D24</f>
        <v>1067</v>
      </c>
      <c r="F24" s="249">
        <f>'App9. Data for tables'!$H$78</f>
        <v>10</v>
      </c>
      <c r="G24" s="253">
        <f t="shared" si="0"/>
        <v>10670</v>
      </c>
    </row>
    <row r="25" spans="2:7" x14ac:dyDescent="0.25">
      <c r="B25" s="97" t="s">
        <v>178</v>
      </c>
      <c r="C25" s="255">
        <f>'App9. Data for tables'!$H$67</f>
        <v>276.5</v>
      </c>
      <c r="D25" s="251">
        <f>'App9. Data for tables'!$H$7</f>
        <v>97</v>
      </c>
      <c r="E25" s="256">
        <f>C25*D25</f>
        <v>26820.5</v>
      </c>
      <c r="F25" s="251">
        <f>'App9. Data for tables'!$H$78</f>
        <v>10</v>
      </c>
      <c r="G25" s="256">
        <f t="shared" si="0"/>
        <v>268205</v>
      </c>
    </row>
    <row r="26" spans="2:7" x14ac:dyDescent="0.25">
      <c r="B26" s="9" t="s">
        <v>81</v>
      </c>
      <c r="C26" s="250"/>
      <c r="D26" s="249"/>
      <c r="E26" s="253"/>
      <c r="F26" s="249"/>
      <c r="G26" s="253"/>
    </row>
    <row r="27" spans="2:7" x14ac:dyDescent="0.25">
      <c r="B27" s="12" t="s">
        <v>202</v>
      </c>
    </row>
    <row r="28" spans="2:7" x14ac:dyDescent="0.25">
      <c r="B28" s="12" t="s">
        <v>203</v>
      </c>
    </row>
    <row r="29" spans="2:7" x14ac:dyDescent="0.25">
      <c r="B29" s="12" t="s">
        <v>204</v>
      </c>
    </row>
    <row r="30" spans="2:7" x14ac:dyDescent="0.25">
      <c r="B30" s="12" t="s">
        <v>205</v>
      </c>
      <c r="E30" s="241"/>
    </row>
    <row r="31" spans="2:7" ht="30" customHeight="1" x14ac:dyDescent="0.25">
      <c r="B31" s="307" t="s">
        <v>206</v>
      </c>
      <c r="C31" s="307"/>
      <c r="D31" s="307"/>
      <c r="E31" s="307"/>
      <c r="F31" s="307"/>
      <c r="G31" s="307"/>
    </row>
    <row r="32" spans="2:7" ht="16.95" customHeight="1" x14ac:dyDescent="0.25">
      <c r="B32" s="307" t="s">
        <v>207</v>
      </c>
      <c r="C32" s="307"/>
      <c r="D32" s="307"/>
      <c r="E32" s="307"/>
      <c r="F32" s="307"/>
      <c r="G32" s="307"/>
    </row>
    <row r="33" spans="2:2" x14ac:dyDescent="0.25">
      <c r="B33" s="12" t="s">
        <v>208</v>
      </c>
    </row>
    <row r="34" spans="2:2" x14ac:dyDescent="0.25">
      <c r="B34" s="12" t="s">
        <v>209</v>
      </c>
    </row>
    <row r="35" spans="2:2" x14ac:dyDescent="0.25">
      <c r="B35" s="12" t="s">
        <v>210</v>
      </c>
    </row>
    <row r="36" spans="2:2" x14ac:dyDescent="0.25">
      <c r="B36" s="12" t="s">
        <v>211</v>
      </c>
    </row>
  </sheetData>
  <protectedRanges>
    <protectedRange sqref="C13:D13 C14:E17 C5:E12 C19:E26" name="Range2"/>
    <protectedRange sqref="C18:E18" name="Range2_1"/>
    <protectedRange sqref="C4:E4" name="Range2_3"/>
    <protectedRange sqref="E13" name="Range2_5"/>
  </protectedRanges>
  <mergeCells count="3">
    <mergeCell ref="B2:G2"/>
    <mergeCell ref="B31:G31"/>
    <mergeCell ref="B32:G32"/>
  </mergeCells>
  <phoneticPr fontId="17" type="noConversion"/>
  <pageMargins left="0.7" right="0.7" top="0.75" bottom="0.75" header="0.3" footer="0.3"/>
  <pageSetup orientation="portrait"/>
  <ignoredErrors>
    <ignoredError sqref="C8:D9 C22:C25 E22:E25 C14:D16 C21:E21 C19:D20 E17:F20 E5:F7 E11:F16 E4 E8:E9 E10" unlockedFormula="1"/>
    <ignoredError sqref="F22:F25" 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ddc9d20-b71f-4856-9479-006414ff5e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7D58288229BC4088569E048B6F0070" ma:contentTypeVersion="18" ma:contentTypeDescription="Create a new document." ma:contentTypeScope="" ma:versionID="ee464c4f146fddf4228e353f13f96465">
  <xsd:schema xmlns:xsd="http://www.w3.org/2001/XMLSchema" xmlns:xs="http://www.w3.org/2001/XMLSchema" xmlns:p="http://schemas.microsoft.com/office/2006/metadata/properties" xmlns:ns3="9ddc9d20-b71f-4856-9479-006414ff5e84" xmlns:ns4="2b322f46-9662-42fc-bc17-091c716e99e0" targetNamespace="http://schemas.microsoft.com/office/2006/metadata/properties" ma:root="true" ma:fieldsID="e3af4ef9d2f9f4bcb7d6d07f95377f75" ns3:_="" ns4:_="">
    <xsd:import namespace="9ddc9d20-b71f-4856-9479-006414ff5e84"/>
    <xsd:import namespace="2b322f46-9662-42fc-bc17-091c716e99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c9d20-b71f-4856-9479-006414ff5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22f46-9662-42fc-bc17-091c716e99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42103D-F8A2-4768-8CB9-E75E029DB774}">
  <ds:schemaRefs>
    <ds:schemaRef ds:uri="http://schemas.microsoft.com/sharepoint/v3/contenttype/forms"/>
  </ds:schemaRefs>
</ds:datastoreItem>
</file>

<file path=customXml/itemProps2.xml><?xml version="1.0" encoding="utf-8"?>
<ds:datastoreItem xmlns:ds="http://schemas.openxmlformats.org/officeDocument/2006/customXml" ds:itemID="{332AF511-652F-4A3E-A434-A866251EBA89}">
  <ds:schemaRefs>
    <ds:schemaRef ds:uri="http://schemas.microsoft.com/office/2006/metadata/properties"/>
    <ds:schemaRef ds:uri="http://schemas.microsoft.com/office/infopath/2007/PartnerControls"/>
    <ds:schemaRef ds:uri="9ddc9d20-b71f-4856-9479-006414ff5e84"/>
  </ds:schemaRefs>
</ds:datastoreItem>
</file>

<file path=customXml/itemProps3.xml><?xml version="1.0" encoding="utf-8"?>
<ds:datastoreItem xmlns:ds="http://schemas.openxmlformats.org/officeDocument/2006/customXml" ds:itemID="{0F3CEFBB-BB9F-4819-BC2E-074C2D3F7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c9d20-b71f-4856-9479-006414ff5e84"/>
    <ds:schemaRef ds:uri="2b322f46-9662-42fc-bc17-091c716e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Cosmic Crisp-Angled V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'Cosmic Crisp-Angled V Budget'!Print_Area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m_taylor</dc:creator>
  <cp:keywords/>
  <dc:description/>
  <cp:lastModifiedBy>Suzette P Galinato</cp:lastModifiedBy>
  <cp:revision/>
  <dcterms:created xsi:type="dcterms:W3CDTF">2009-07-08T23:24:01Z</dcterms:created>
  <dcterms:modified xsi:type="dcterms:W3CDTF">2025-08-11T19:57:04Z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0x010100217D58288229BC4088569E048B6F0070</vt:lpwstr>
  </property>
</Properties>
</file>