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crowder\Desktop\"/>
    </mc:Choice>
  </mc:AlternateContent>
  <xr:revisionPtr revIDLastSave="0" documentId="8_{C7C2E475-174D-4CD1-9602-225A97CBB0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ll_Calculator" sheetId="8" r:id="rId1"/>
    <sheet name="Citations" sheetId="7" r:id="rId2"/>
    <sheet name="Drop down 1" sheetId="1" r:id="rId3"/>
    <sheet name="Drop down 2" sheetId="12" r:id="rId4"/>
    <sheet name="Drop down 3" sheetId="14" r:id="rId5"/>
    <sheet name="Drop down 4" sheetId="13" r:id="rId6"/>
    <sheet name="Drop down extra" sheetId="11" r:id="rId7"/>
    <sheet name="Sheet1" sheetId="9" r:id="rId8"/>
    <sheet name="Sheet2" sheetId="10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8" l="1"/>
  <c r="C12" i="8"/>
  <c r="C10" i="8"/>
  <c r="C6" i="8"/>
  <c r="C19" i="12"/>
  <c r="G19" i="12"/>
  <c r="F27" i="8"/>
  <c r="C38" i="8"/>
  <c r="H14" i="11"/>
  <c r="H13" i="11"/>
  <c r="D17" i="11"/>
  <c r="D16" i="11"/>
  <c r="D15" i="11"/>
  <c r="Q3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2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2" i="10"/>
  <c r="H60" i="10"/>
  <c r="H62" i="10" s="1"/>
  <c r="L60" i="10"/>
  <c r="C60" i="10"/>
  <c r="C8" i="8"/>
  <c r="B45" i="1"/>
  <c r="H61" i="10" l="1"/>
  <c r="C13" i="8"/>
  <c r="C18" i="8" s="1"/>
  <c r="C28" i="8" l="1"/>
  <c r="D28" i="8" s="1"/>
  <c r="C29" i="8"/>
  <c r="D29" i="8" s="1"/>
  <c r="C40" i="8"/>
  <c r="C41" i="8" s="1"/>
  <c r="C42" i="8" s="1"/>
  <c r="E8" i="8" s="1"/>
  <c r="C27" i="8"/>
  <c r="D27" i="8" s="1"/>
  <c r="C48" i="8"/>
  <c r="C19" i="8"/>
  <c r="E19" i="8" s="1"/>
  <c r="E18" i="8"/>
  <c r="C20" i="8"/>
  <c r="E20" i="8" s="1"/>
  <c r="C21" i="8"/>
  <c r="E21" i="8" s="1"/>
  <c r="C22" i="8"/>
  <c r="E22" i="8" s="1"/>
  <c r="D30" i="8" l="1"/>
  <c r="E23" i="8"/>
  <c r="E6" i="8" l="1"/>
  <c r="H27" i="8"/>
  <c r="C50" i="8" s="1"/>
  <c r="C51" i="8" s="1"/>
  <c r="E4" i="8" s="1"/>
</calcChain>
</file>

<file path=xl/sharedStrings.xml><?xml version="1.0" encoding="utf-8"?>
<sst xmlns="http://schemas.openxmlformats.org/spreadsheetml/2006/main" count="769" uniqueCount="259">
  <si>
    <t>Calculator 1</t>
  </si>
  <si>
    <t>Estimate grain and straw yield from available moisture</t>
  </si>
  <si>
    <t>Net ($/A)</t>
  </si>
  <si>
    <t>Type</t>
  </si>
  <si>
    <t>Description</t>
  </si>
  <si>
    <t>Variable</t>
  </si>
  <si>
    <t>Input</t>
  </si>
  <si>
    <t>Available water (in)</t>
  </si>
  <si>
    <t>CCE removed per acre</t>
  </si>
  <si>
    <t>Intermediate Value</t>
  </si>
  <si>
    <t>Available water (cm)</t>
  </si>
  <si>
    <t xml:space="preserve">Variety </t>
  </si>
  <si>
    <t>Puma</t>
  </si>
  <si>
    <t>SOC Status</t>
  </si>
  <si>
    <t>Output</t>
  </si>
  <si>
    <t>Harvest Index</t>
  </si>
  <si>
    <t>Straw harvest percentage</t>
  </si>
  <si>
    <t>Grain yield (kg/ha)</t>
  </si>
  <si>
    <t>Grain yield (bu/acre)</t>
  </si>
  <si>
    <t>Straw Produced (kg/ha)</t>
  </si>
  <si>
    <t>Straw yield (Ton/A)</t>
  </si>
  <si>
    <t xml:space="preserve">Estimate Nutrient Removal </t>
  </si>
  <si>
    <t>nutrient concentration (lb/lb)</t>
  </si>
  <si>
    <t>nutrient removed (lb/acre)</t>
  </si>
  <si>
    <t>price nutrient ($/lb)</t>
  </si>
  <si>
    <t>nutrient removal cost ($/acre)</t>
  </si>
  <si>
    <t>N removal</t>
  </si>
  <si>
    <t>P2O5 removal</t>
  </si>
  <si>
    <t>S removal</t>
  </si>
  <si>
    <t>Zn removal</t>
  </si>
  <si>
    <t>B removal</t>
  </si>
  <si>
    <t>Base Cation Removal</t>
  </si>
  <si>
    <t>CCE of Base Cations Removed</t>
  </si>
  <si>
    <t>Liming material</t>
  </si>
  <si>
    <t>CCE of liming material</t>
  </si>
  <si>
    <t>price liming material ($/ton)</t>
  </si>
  <si>
    <t>base cation removal cost ($/acre)</t>
  </si>
  <si>
    <t>K2O removal</t>
  </si>
  <si>
    <t>Sugar Beet Lime</t>
  </si>
  <si>
    <t>Ca removal</t>
  </si>
  <si>
    <t>$10 included for application cost per acre (WSU extension)</t>
  </si>
  <si>
    <t>Mg removal</t>
  </si>
  <si>
    <t>Soil Organic Carbon Removal</t>
  </si>
  <si>
    <t>Cropping System</t>
  </si>
  <si>
    <t>No-till - continuous cropping</t>
  </si>
  <si>
    <t>Maintenance SOC (lb/A)</t>
  </si>
  <si>
    <t>C concentration</t>
  </si>
  <si>
    <t>C removed with straw (lb/A)</t>
  </si>
  <si>
    <t>C not removed (lb/A)</t>
  </si>
  <si>
    <t>Partial Budget</t>
  </si>
  <si>
    <t>Staw price ($/ton)</t>
  </si>
  <si>
    <t>Straw Revenue ($/A)</t>
  </si>
  <si>
    <t>Operating Costs ($/A)</t>
  </si>
  <si>
    <t>Reduced Revenue ($/A)</t>
  </si>
  <si>
    <t>Net (profit/loss) ($/A)</t>
  </si>
  <si>
    <r>
      <t xml:space="preserve">Schillinger, W. F., Schofstoll, S. E., &amp; Alldredge, J. R. (n.d.). </t>
    </r>
    <r>
      <rPr>
        <i/>
        <sz val="11"/>
        <color theme="1"/>
        <rFont val="Calibri"/>
        <family val="2"/>
        <scheme val="minor"/>
      </rPr>
      <t>Available water and wheat grain yield relations in a Mediterranean climate</t>
    </r>
    <r>
      <rPr>
        <sz val="11"/>
        <color theme="1"/>
        <rFont val="Calibri"/>
        <family val="2"/>
        <scheme val="minor"/>
      </rPr>
      <t>. https://doi.org/10.1016/j.fcr.2008.06.008</t>
    </r>
  </si>
  <si>
    <r>
      <t xml:space="preserve">McClellan, R.C., McCool, D.K., &amp; Rickman, R. W., 2012 </t>
    </r>
    <r>
      <rPr>
        <i/>
        <sz val="11"/>
        <color theme="1"/>
        <rFont val="Calibri"/>
        <family val="2"/>
        <scheme val="minor"/>
      </rPr>
      <t xml:space="preserve">Grain Yield and Biomass Relationship for Crops in the Inland Pacific Northwest Unitested States. </t>
    </r>
    <r>
      <rPr>
        <sz val="11"/>
        <color theme="1"/>
        <rFont val="Calibri"/>
        <family val="2"/>
        <scheme val="minor"/>
      </rPr>
      <t>J. of Soil and Water Conservation 67:42-50</t>
    </r>
  </si>
  <si>
    <t>Lafond, Stumborg, M., Lemke, R., May, W.E., Holzapfel, C.B., and Campbell, C.A., 2009, Quantifying Straw Removal through Baling and Measuring the the Longer Term Effects on Soil Quality and Wheat Production https://acsess.onlinelibrary.wiley.com/doi/epdf/10.2134/agronj2008.0118x</t>
  </si>
  <si>
    <r>
      <t xml:space="preserve">El-Nashaar, H. M., Banowetz, G. M., Peterson, C. J., &amp; Griffith, S. M. (2010). Genetic variability of elemental concentration in winter wheat straw. </t>
    </r>
    <r>
      <rPr>
        <i/>
        <sz val="12"/>
        <color theme="1"/>
        <rFont val="Times New Roman"/>
        <family val="1"/>
      </rPr>
      <t>Energy and Fuels</t>
    </r>
    <r>
      <rPr>
        <sz val="12"/>
        <color theme="1"/>
        <rFont val="Times New Roman"/>
        <family val="1"/>
      </rPr>
      <t xml:space="preserve">, </t>
    </r>
    <r>
      <rPr>
        <i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>(3), 2020–2027. https://doi.org/10.1021/ef901181h</t>
    </r>
  </si>
  <si>
    <r>
      <t xml:space="preserve">Johnson, J. M. F., Allmaras, R. R., &amp; Reicosky, D. C. (2006). Estimating source carbon from crop residues, roots and rhizodeposits using the national grain-yield database. </t>
    </r>
    <r>
      <rPr>
        <i/>
        <sz val="11"/>
        <color theme="1"/>
        <rFont val="Calibri"/>
        <family val="2"/>
        <scheme val="minor"/>
      </rPr>
      <t xml:space="preserve">Agron J. </t>
    </r>
    <r>
      <rPr>
        <sz val="11"/>
        <color theme="1"/>
        <rFont val="Calibri"/>
        <family val="2"/>
        <scheme val="minor"/>
      </rPr>
      <t xml:space="preserve">98:622-636 </t>
    </r>
  </si>
  <si>
    <t>Tarkalson, D.D., Brown, B., Kok, H., &amp; Bjorneberg, D.L. (2009). Impact of removing straw from wheat and barley fields: a literature review. Better Crops Vol. 3</t>
  </si>
  <si>
    <t>Harvest Index of Varieties</t>
  </si>
  <si>
    <t>AP Exceed</t>
  </si>
  <si>
    <t>AP Iliad</t>
  </si>
  <si>
    <t>AP Dynamic</t>
  </si>
  <si>
    <t>ARS-Castella</t>
  </si>
  <si>
    <t>ARS-Crescent</t>
  </si>
  <si>
    <t>Battle AX</t>
  </si>
  <si>
    <t>Canvas</t>
  </si>
  <si>
    <t>Curiosity CL+</t>
  </si>
  <si>
    <t>Devote</t>
  </si>
  <si>
    <t>Guardian</t>
  </si>
  <si>
    <t>Jasper</t>
  </si>
  <si>
    <t>Kairos</t>
  </si>
  <si>
    <t>Keldin</t>
  </si>
  <si>
    <t>LCS Artdeco</t>
  </si>
  <si>
    <t>LCS Blackjack</t>
  </si>
  <si>
    <t>LCS Drive</t>
  </si>
  <si>
    <t>LCS Hulk</t>
  </si>
  <si>
    <t>LCS Jet</t>
  </si>
  <si>
    <t>LCS Rocket</t>
  </si>
  <si>
    <t>LCS Shine</t>
  </si>
  <si>
    <t>LCS Sonic</t>
  </si>
  <si>
    <t>M-idas</t>
  </si>
  <si>
    <t>M-press</t>
  </si>
  <si>
    <t>Mela CL+</t>
  </si>
  <si>
    <t>Nixon</t>
  </si>
  <si>
    <t>Norwest Duet</t>
  </si>
  <si>
    <t>Norwest Tandem</t>
  </si>
  <si>
    <t>OR2x2 CL+</t>
  </si>
  <si>
    <t>Otto</t>
  </si>
  <si>
    <t>Piranha CL+</t>
  </si>
  <si>
    <t>PNW Hailey</t>
  </si>
  <si>
    <t>Pritchett</t>
  </si>
  <si>
    <t>Purl</t>
  </si>
  <si>
    <t>Resilience CL+</t>
  </si>
  <si>
    <t>Scorpio</t>
  </si>
  <si>
    <t>Sockeye CL+</t>
  </si>
  <si>
    <t>Stingray CL+</t>
  </si>
  <si>
    <t>SY Clearstone</t>
  </si>
  <si>
    <t>SY Command</t>
  </si>
  <si>
    <t>SY Dayton</t>
  </si>
  <si>
    <t>UI Magic CL+</t>
  </si>
  <si>
    <t>Unknown</t>
  </si>
  <si>
    <t>VI Frost</t>
  </si>
  <si>
    <t>VI Presto CL+</t>
  </si>
  <si>
    <t>VI Voodoo CL+</t>
  </si>
  <si>
    <t>WB1529</t>
  </si>
  <si>
    <t>WB4303</t>
  </si>
  <si>
    <t>WB4311</t>
  </si>
  <si>
    <t>WB4394</t>
  </si>
  <si>
    <t>WB4623 CLP</t>
  </si>
  <si>
    <t>Whistler</t>
  </si>
  <si>
    <t>Xerpha</t>
  </si>
  <si>
    <t>YSC-215</t>
  </si>
  <si>
    <t>SOC Maintenance Levels (MSC) by Tillage &amp; Fallow</t>
  </si>
  <si>
    <t>Method</t>
  </si>
  <si>
    <t>MSC (lbs C/A)</t>
  </si>
  <si>
    <t>Till - continuous cropping</t>
  </si>
  <si>
    <t>machado</t>
  </si>
  <si>
    <t>Till - 1/3 fallow</t>
  </si>
  <si>
    <t>huggins</t>
  </si>
  <si>
    <t>Till - 1/2 fallow</t>
  </si>
  <si>
    <t>tarkalson/johnson</t>
  </si>
  <si>
    <t>No-till - 1/3 fallow</t>
  </si>
  <si>
    <t>No-till - 1/2 fallow</t>
  </si>
  <si>
    <t>Till - continuous cropping, Till - 1/3 fallow, Till - 1/2 fallow, No-till - continuous cropping, No-till - 1/3 fallow, No-till - 1/2 fallow</t>
  </si>
  <si>
    <t>no-till 1/3 = (1781/0.74)*0.91</t>
  </si>
  <si>
    <t>no-till 1/2 = (1781/0.55)*0.91</t>
  </si>
  <si>
    <t>(no-till continuous)/(till continuous) = 1781/1964 = 0.91</t>
  </si>
  <si>
    <t>(till continuous)/(till 1/2 fallow) = 1964/3571 = 0.55</t>
  </si>
  <si>
    <t>(till continuous)/(till 1/3 fallow) = 1964/2672 = 0.74</t>
  </si>
  <si>
    <t>Liming Materials</t>
  </si>
  <si>
    <t>Material</t>
  </si>
  <si>
    <t>CCE</t>
  </si>
  <si>
    <t>Calcium Carbonate</t>
  </si>
  <si>
    <t>Calcitic Limestone</t>
  </si>
  <si>
    <t>Dolomitic Limestone</t>
  </si>
  <si>
    <t>Liquid Suspended Calcite</t>
  </si>
  <si>
    <t>Price ($/ton)</t>
  </si>
  <si>
    <t xml:space="preserve">Thompson, W.H., McFarland, Brown, Huggins. 2016. "Agricultural Lime and Liming, Part 3: Aglime Product Selection and Comparison Calculator User Guide." WSU Extension Soil Acidification Series. </t>
  </si>
  <si>
    <t>SOC Maintenance Levels (MSC) by Tillage</t>
  </si>
  <si>
    <t>No-till</t>
  </si>
  <si>
    <t>Till</t>
  </si>
  <si>
    <t>Till - with fallow</t>
  </si>
  <si>
    <t>tarkalson</t>
  </si>
  <si>
    <t>johnson</t>
  </si>
  <si>
    <t>2000 kgC/ha</t>
  </si>
  <si>
    <t>3000 kgC/ha</t>
  </si>
  <si>
    <t>4000 kgC/ha</t>
  </si>
  <si>
    <t>wheat</t>
  </si>
  <si>
    <t>Al</t>
  </si>
  <si>
    <t>Ca</t>
  </si>
  <si>
    <t>Mg</t>
  </si>
  <si>
    <t>K</t>
  </si>
  <si>
    <t>P</t>
  </si>
  <si>
    <t>H</t>
  </si>
  <si>
    <t>C</t>
  </si>
  <si>
    <t>N</t>
  </si>
  <si>
    <t>S</t>
  </si>
  <si>
    <t>Brundage 96</t>
  </si>
  <si>
    <t>bcde</t>
  </si>
  <si>
    <t>abc</t>
  </si>
  <si>
    <t>a</t>
  </si>
  <si>
    <t>ab</t>
  </si>
  <si>
    <t>f</t>
  </si>
  <si>
    <t>abcde</t>
  </si>
  <si>
    <t>Cara</t>
  </si>
  <si>
    <t>abcd</t>
  </si>
  <si>
    <t>efgh</t>
  </si>
  <si>
    <t>e</t>
  </si>
  <si>
    <t>bcd</t>
  </si>
  <si>
    <t>Gene</t>
  </si>
  <si>
    <t>cdef</t>
  </si>
  <si>
    <t>ef</t>
  </si>
  <si>
    <t>Goetze</t>
  </si>
  <si>
    <t>gh</t>
  </si>
  <si>
    <t>abcdef</t>
  </si>
  <si>
    <t>Madsen</t>
  </si>
  <si>
    <t>cde</t>
  </si>
  <si>
    <t>de</t>
  </si>
  <si>
    <t>Masami</t>
  </si>
  <si>
    <t>ORCF-101</t>
  </si>
  <si>
    <t>h</t>
  </si>
  <si>
    <t>b</t>
  </si>
  <si>
    <t>ORCF-102</t>
  </si>
  <si>
    <t>ORCF-103</t>
  </si>
  <si>
    <t>ORSS-1757</t>
  </si>
  <si>
    <t>fgh</t>
  </si>
  <si>
    <t>Rod/Tubbs06</t>
  </si>
  <si>
    <t>cdefg</t>
  </si>
  <si>
    <t>Simon</t>
  </si>
  <si>
    <t>defg</t>
  </si>
  <si>
    <t>Skiles</t>
  </si>
  <si>
    <t>defgh</t>
  </si>
  <si>
    <t>bcdef</t>
  </si>
  <si>
    <t>Stephens</t>
  </si>
  <si>
    <t>Tubbs</t>
  </si>
  <si>
    <t>Tubbs06</t>
  </si>
  <si>
    <t>def</t>
  </si>
  <si>
    <t>UICF-Lambert</t>
  </si>
  <si>
    <t>Weatherford</t>
  </si>
  <si>
    <t>Westbred 528</t>
  </si>
  <si>
    <t>bc</t>
  </si>
  <si>
    <t>PUL</t>
  </si>
  <si>
    <t>AP18_AX</t>
  </si>
  <si>
    <t>&lt;.0001</t>
  </si>
  <si>
    <t>RER</t>
  </si>
  <si>
    <t>AP_Dynam</t>
  </si>
  <si>
    <t>AP_Excee</t>
  </si>
  <si>
    <t>ARS-Cast</t>
  </si>
  <si>
    <t>AP_Iliad</t>
  </si>
  <si>
    <t>ARS-Cres</t>
  </si>
  <si>
    <t>Appleby_</t>
  </si>
  <si>
    <t>Battle_A</t>
  </si>
  <si>
    <t>ARS-Selb</t>
  </si>
  <si>
    <t>ARS09X49</t>
  </si>
  <si>
    <t>Curiosit</t>
  </si>
  <si>
    <t>LCS_Fusi</t>
  </si>
  <si>
    <t>LCS_Artd</t>
  </si>
  <si>
    <t>LCS_Hulk</t>
  </si>
  <si>
    <t>LCS_Blac</t>
  </si>
  <si>
    <t>LCS_Jet</t>
  </si>
  <si>
    <t>LCS_Driv</t>
  </si>
  <si>
    <t>LCS_Shin</t>
  </si>
  <si>
    <t>LCS_Soni</t>
  </si>
  <si>
    <t>LW17-581</t>
  </si>
  <si>
    <t>LW17-587</t>
  </si>
  <si>
    <t>LCS_Rock</t>
  </si>
  <si>
    <t>LW17-818</t>
  </si>
  <si>
    <t>LW18-058</t>
  </si>
  <si>
    <t>LW18-508</t>
  </si>
  <si>
    <t>M-Idas</t>
  </si>
  <si>
    <t>Mela_CLP</t>
  </si>
  <si>
    <t>Millie</t>
  </si>
  <si>
    <t>NW_Duet</t>
  </si>
  <si>
    <t>NW_Tande</t>
  </si>
  <si>
    <t>OR2X2_CL</t>
  </si>
  <si>
    <t>Piranha_</t>
  </si>
  <si>
    <t>PNW_Hail</t>
  </si>
  <si>
    <t>Pritchet</t>
  </si>
  <si>
    <t>Resilien</t>
  </si>
  <si>
    <t>SY_Clear</t>
  </si>
  <si>
    <t>SY_Comma</t>
  </si>
  <si>
    <t>SY_Dayto</t>
  </si>
  <si>
    <t>Stingray</t>
  </si>
  <si>
    <t>UI_Bronz</t>
  </si>
  <si>
    <t>Sockeye_</t>
  </si>
  <si>
    <t>UI_Magic</t>
  </si>
  <si>
    <t>VI_Frost</t>
  </si>
  <si>
    <t>VI_Prest</t>
  </si>
  <si>
    <t>VI_Voodo</t>
  </si>
  <si>
    <t>WA8309</t>
  </si>
  <si>
    <t>WB1783</t>
  </si>
  <si>
    <t>WA8339</t>
  </si>
  <si>
    <t>WA8340</t>
  </si>
  <si>
    <t>WB1604</t>
  </si>
  <si>
    <t>WB4623CL</t>
  </si>
  <si>
    <t>YSC-93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</si>
</sst>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$&quot;#,##0.00"/>
    <numFmt numFmtId="166" formatCode="0.000"/>
    <numFmt numFmtId="167" formatCode="0.000000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F9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left" vertical="center" indent="3"/>
    </xf>
    <xf numFmtId="0" fontId="0" fillId="3" borderId="1" xfId="0" applyFill="1" applyBorder="1"/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0" fillId="3" borderId="6" xfId="0" applyFill="1" applyBorder="1"/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left" vertical="center" indent="3"/>
    </xf>
    <xf numFmtId="0" fontId="2" fillId="0" borderId="1" xfId="0" applyFont="1" applyBorder="1" applyAlignment="1">
      <alignment vertical="center" wrapText="1"/>
    </xf>
    <xf numFmtId="166" fontId="0" fillId="0" borderId="1" xfId="0" applyNumberFormat="1" applyBorder="1"/>
    <xf numFmtId="166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0" fontId="0" fillId="4" borderId="1" xfId="0" applyFill="1" applyBorder="1"/>
    <xf numFmtId="165" fontId="0" fillId="5" borderId="1" xfId="0" applyNumberFormat="1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8" xfId="0" applyBorder="1"/>
    <xf numFmtId="2" fontId="0" fillId="0" borderId="1" xfId="0" applyNumberFormat="1" applyBorder="1"/>
    <xf numFmtId="4" fontId="0" fillId="5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6" borderId="1" xfId="0" applyFill="1" applyBorder="1"/>
    <xf numFmtId="0" fontId="0" fillId="6" borderId="6" xfId="0" applyFill="1" applyBorder="1"/>
    <xf numFmtId="164" fontId="0" fillId="6" borderId="1" xfId="0" applyNumberFormat="1" applyFill="1" applyBorder="1"/>
    <xf numFmtId="165" fontId="0" fillId="6" borderId="1" xfId="0" applyNumberFormat="1" applyFill="1" applyBorder="1"/>
    <xf numFmtId="165" fontId="0" fillId="6" borderId="2" xfId="0" applyNumberFormat="1" applyFill="1" applyBorder="1"/>
    <xf numFmtId="0" fontId="0" fillId="6" borderId="1" xfId="0" applyFill="1" applyBorder="1" applyAlignment="1">
      <alignment horizontal="right"/>
    </xf>
    <xf numFmtId="167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1" fontId="0" fillId="6" borderId="5" xfId="0" applyNumberFormat="1" applyFont="1" applyFill="1" applyBorder="1" applyAlignment="1">
      <alignment horizontal="center"/>
    </xf>
    <xf numFmtId="164" fontId="0" fillId="4" borderId="4" xfId="0" applyNumberFormat="1" applyFont="1" applyFill="1" applyBorder="1" applyAlignment="1">
      <alignment horizontal="center"/>
    </xf>
    <xf numFmtId="164" fontId="0" fillId="6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9F9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F9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606E-0AFF-4DE0-85DE-A4DB008187B2}">
  <dimension ref="A2:S60"/>
  <sheetViews>
    <sheetView tabSelected="1" topLeftCell="A38" zoomScale="90" zoomScaleNormal="90" workbookViewId="0">
      <selection activeCell="F33" sqref="F33"/>
    </sheetView>
  </sheetViews>
  <sheetFormatPr defaultRowHeight="14.5" x14ac:dyDescent="0.35"/>
  <cols>
    <col min="1" max="1" width="16.81640625" bestFit="1" customWidth="1"/>
    <col min="2" max="3" width="31" bestFit="1" customWidth="1"/>
    <col min="4" max="4" width="27.453125" customWidth="1"/>
    <col min="5" max="5" width="30.7265625" customWidth="1"/>
    <col min="6" max="7" width="29" customWidth="1"/>
    <col min="8" max="8" width="30.453125" customWidth="1"/>
  </cols>
  <sheetData>
    <row r="2" spans="1:19" x14ac:dyDescent="0.35">
      <c r="A2" s="25" t="s">
        <v>0</v>
      </c>
      <c r="B2" s="26"/>
      <c r="C2" s="26"/>
    </row>
    <row r="3" spans="1:19" x14ac:dyDescent="0.35">
      <c r="A3" s="24" t="s">
        <v>1</v>
      </c>
      <c r="B3" s="24"/>
      <c r="C3" s="24"/>
      <c r="E3" s="11" t="s">
        <v>2</v>
      </c>
    </row>
    <row r="4" spans="1:19" x14ac:dyDescent="0.35">
      <c r="A4" s="19" t="s">
        <v>3</v>
      </c>
      <c r="B4" s="19" t="s">
        <v>4</v>
      </c>
      <c r="C4" s="19" t="s">
        <v>5</v>
      </c>
      <c r="E4" s="34">
        <f>C51</f>
        <v>98.102629407876179</v>
      </c>
    </row>
    <row r="5" spans="1:19" ht="15" thickBot="1" x14ac:dyDescent="0.4">
      <c r="A5" s="6" t="s">
        <v>6</v>
      </c>
      <c r="B5" s="6" t="s">
        <v>7</v>
      </c>
      <c r="C5" s="29">
        <v>22</v>
      </c>
      <c r="E5" s="2" t="s">
        <v>8</v>
      </c>
    </row>
    <row r="6" spans="1:19" ht="15" thickBot="1" x14ac:dyDescent="0.4">
      <c r="A6" s="4" t="s">
        <v>9</v>
      </c>
      <c r="B6" s="7" t="s">
        <v>10</v>
      </c>
      <c r="C6" s="8">
        <f>C5*2.54</f>
        <v>55.88</v>
      </c>
      <c r="E6" s="33">
        <f>D30</f>
        <v>479.19273870309735</v>
      </c>
    </row>
    <row r="7" spans="1:19" x14ac:dyDescent="0.35">
      <c r="A7" s="1" t="s">
        <v>6</v>
      </c>
      <c r="B7" s="1" t="s">
        <v>11</v>
      </c>
      <c r="C7" s="30" t="s">
        <v>12</v>
      </c>
      <c r="E7" s="19" t="s">
        <v>13</v>
      </c>
    </row>
    <row r="8" spans="1:19" x14ac:dyDescent="0.35">
      <c r="A8" s="31" t="s">
        <v>14</v>
      </c>
      <c r="B8" s="31" t="s">
        <v>15</v>
      </c>
      <c r="C8" s="19">
        <f>VLOOKUP(C7,'Drop down 1'!A6:B58,2,FALSE)</f>
        <v>0.3453</v>
      </c>
      <c r="E8" s="31" t="str">
        <f>C42</f>
        <v>Above Maintenance SOC Level</v>
      </c>
    </row>
    <row r="9" spans="1:19" x14ac:dyDescent="0.35">
      <c r="A9" s="1" t="s">
        <v>6</v>
      </c>
      <c r="B9" s="1" t="s">
        <v>16</v>
      </c>
      <c r="C9" s="29">
        <v>50</v>
      </c>
    </row>
    <row r="10" spans="1:19" ht="15" thickBot="1" x14ac:dyDescent="0.4">
      <c r="A10" s="4" t="s">
        <v>9</v>
      </c>
      <c r="B10" s="4" t="s">
        <v>17</v>
      </c>
      <c r="C10" s="9">
        <f>154*C6 -905</f>
        <v>7700.52</v>
      </c>
    </row>
    <row r="11" spans="1:19" ht="15" thickBot="1" x14ac:dyDescent="0.4">
      <c r="A11" s="31" t="s">
        <v>14</v>
      </c>
      <c r="B11" s="32" t="s">
        <v>18</v>
      </c>
      <c r="C11" s="42">
        <f>C10*2.2/1*1/2.47*1/60</f>
        <v>114.3127125506073</v>
      </c>
      <c r="E11" s="20"/>
    </row>
    <row r="12" spans="1:19" ht="15" thickBot="1" x14ac:dyDescent="0.4">
      <c r="A12" s="4" t="s">
        <v>9</v>
      </c>
      <c r="B12" s="4" t="s">
        <v>19</v>
      </c>
      <c r="C12" s="43">
        <f>(C10/C8)-C10</f>
        <v>14600.435690703736</v>
      </c>
    </row>
    <row r="13" spans="1:19" ht="15" thickBot="1" x14ac:dyDescent="0.4">
      <c r="A13" s="31" t="s">
        <v>14</v>
      </c>
      <c r="B13" s="32" t="s">
        <v>20</v>
      </c>
      <c r="C13" s="44">
        <f>C12*2.2/1*1/2.47*1/2000*C9/100</f>
        <v>3.2511091618975927</v>
      </c>
    </row>
    <row r="16" spans="1:19" s="2" customFormat="1" x14ac:dyDescent="0.35">
      <c r="A16" s="24" t="s">
        <v>21</v>
      </c>
      <c r="B16" s="24"/>
      <c r="C16" s="24"/>
      <c r="D16" s="24"/>
      <c r="E16" s="24"/>
      <c r="F16"/>
      <c r="G16"/>
      <c r="H16"/>
      <c r="I16"/>
      <c r="J16"/>
      <c r="K16"/>
      <c r="L16"/>
      <c r="M16"/>
      <c r="N16"/>
      <c r="O16"/>
      <c r="P16"/>
      <c r="Q16"/>
      <c r="R16"/>
      <c r="S16" s="21"/>
    </row>
    <row r="17" spans="1:8" x14ac:dyDescent="0.35">
      <c r="A17" s="19" t="s">
        <v>4</v>
      </c>
      <c r="B17" s="19" t="s">
        <v>22</v>
      </c>
      <c r="C17" s="19" t="s">
        <v>23</v>
      </c>
      <c r="D17" s="19" t="s">
        <v>24</v>
      </c>
      <c r="E17" s="19" t="s">
        <v>25</v>
      </c>
    </row>
    <row r="18" spans="1:8" x14ac:dyDescent="0.35">
      <c r="A18" s="17" t="s">
        <v>26</v>
      </c>
      <c r="B18" s="10">
        <v>6.4200000000000004E-3</v>
      </c>
      <c r="C18" s="33">
        <f>$C$13*2000*B18</f>
        <v>41.744241638765097</v>
      </c>
      <c r="D18" s="18">
        <v>0.5</v>
      </c>
      <c r="E18" s="34">
        <f>C18*D18</f>
        <v>20.872120819382548</v>
      </c>
    </row>
    <row r="19" spans="1:8" x14ac:dyDescent="0.35">
      <c r="A19" s="17" t="s">
        <v>27</v>
      </c>
      <c r="B19" s="10">
        <v>9.2000000000000003E-4</v>
      </c>
      <c r="C19" s="33">
        <f t="shared" ref="C19:C22" si="0">$C$13*2000*B19</f>
        <v>5.9820408578915707</v>
      </c>
      <c r="D19" s="18">
        <v>1.5</v>
      </c>
      <c r="E19" s="34">
        <f t="shared" ref="E19:E22" si="1">C19*D19</f>
        <v>8.9730612868373569</v>
      </c>
    </row>
    <row r="20" spans="1:8" x14ac:dyDescent="0.35">
      <c r="A20" s="17" t="s">
        <v>28</v>
      </c>
      <c r="B20" s="10">
        <v>5.9999999999999995E-4</v>
      </c>
      <c r="C20" s="33">
        <f t="shared" si="0"/>
        <v>3.9013309942771111</v>
      </c>
      <c r="D20" s="18">
        <v>0.4</v>
      </c>
      <c r="E20" s="34">
        <f t="shared" si="1"/>
        <v>1.5605323977108445</v>
      </c>
    </row>
    <row r="21" spans="1:8" x14ac:dyDescent="0.35">
      <c r="A21" s="17" t="s">
        <v>29</v>
      </c>
      <c r="B21" s="10">
        <v>1.115E-4</v>
      </c>
      <c r="C21" s="33">
        <f t="shared" si="0"/>
        <v>0.72499734310316322</v>
      </c>
      <c r="D21" s="18">
        <v>1</v>
      </c>
      <c r="E21" s="34">
        <f t="shared" si="1"/>
        <v>0.72499734310316322</v>
      </c>
    </row>
    <row r="22" spans="1:8" x14ac:dyDescent="0.35">
      <c r="A22" s="17" t="s">
        <v>30</v>
      </c>
      <c r="B22" s="10">
        <v>6.2200000000000005E-4</v>
      </c>
      <c r="C22" s="33">
        <f t="shared" si="0"/>
        <v>4.0443797974006062</v>
      </c>
      <c r="D22" s="18">
        <v>1</v>
      </c>
      <c r="E22" s="34">
        <f t="shared" si="1"/>
        <v>4.0443797974006062</v>
      </c>
    </row>
    <row r="23" spans="1:8" x14ac:dyDescent="0.35">
      <c r="E23" s="35">
        <f>SUM(E18:E20)</f>
        <v>31.405714503930749</v>
      </c>
    </row>
    <row r="25" spans="1:8" x14ac:dyDescent="0.35">
      <c r="A25" s="24" t="s">
        <v>31</v>
      </c>
      <c r="B25" s="24"/>
      <c r="C25" s="24"/>
      <c r="D25" s="24"/>
      <c r="E25" s="24"/>
      <c r="F25" s="24"/>
      <c r="G25" s="24"/>
      <c r="H25" s="24"/>
    </row>
    <row r="26" spans="1:8" x14ac:dyDescent="0.35">
      <c r="A26" s="19" t="s">
        <v>4</v>
      </c>
      <c r="B26" s="19" t="s">
        <v>22</v>
      </c>
      <c r="C26" s="19" t="s">
        <v>23</v>
      </c>
      <c r="D26" s="19" t="s">
        <v>32</v>
      </c>
      <c r="E26" s="19" t="s">
        <v>33</v>
      </c>
      <c r="F26" s="19" t="s">
        <v>34</v>
      </c>
      <c r="G26" s="19" t="s">
        <v>35</v>
      </c>
      <c r="H26" s="19" t="s">
        <v>36</v>
      </c>
    </row>
    <row r="27" spans="1:8" x14ac:dyDescent="0.35">
      <c r="A27" s="17" t="s">
        <v>37</v>
      </c>
      <c r="B27" s="10">
        <v>1.4E-2</v>
      </c>
      <c r="C27" s="33">
        <f t="shared" ref="C27:C29" si="2">$C$13*2000*B27</f>
        <v>91.031056533132599</v>
      </c>
      <c r="D27" s="36">
        <f>C27*(50/94)</f>
        <v>48.420774751666272</v>
      </c>
      <c r="E27" s="19" t="s">
        <v>38</v>
      </c>
      <c r="F27" s="23">
        <f>VLOOKUP(E27,'Drop down 3'!A3:B7,2,FALSE)</f>
        <v>0.77</v>
      </c>
      <c r="G27" s="18">
        <v>50</v>
      </c>
      <c r="H27" s="34">
        <f>((D30/F27)/2000)*G27+10</f>
        <v>25.558205802048619</v>
      </c>
    </row>
    <row r="28" spans="1:8" x14ac:dyDescent="0.35">
      <c r="A28" s="17" t="s">
        <v>39</v>
      </c>
      <c r="B28" s="10">
        <v>1.2E-2</v>
      </c>
      <c r="C28" s="33">
        <f t="shared" si="2"/>
        <v>78.026619885542232</v>
      </c>
      <c r="D28" s="36">
        <f>C28*(100/40)</f>
        <v>195.06654971385558</v>
      </c>
      <c r="H28" t="s">
        <v>40</v>
      </c>
    </row>
    <row r="29" spans="1:8" x14ac:dyDescent="0.35">
      <c r="A29" s="17" t="s">
        <v>41</v>
      </c>
      <c r="B29" s="10">
        <v>8.6999999999999994E-3</v>
      </c>
      <c r="C29" s="33">
        <f t="shared" si="2"/>
        <v>56.569299417018115</v>
      </c>
      <c r="D29" s="36">
        <f>C29*(100/24)</f>
        <v>235.7054142375755</v>
      </c>
    </row>
    <row r="30" spans="1:8" x14ac:dyDescent="0.35">
      <c r="D30" s="37">
        <f>SUM(D27:D29)</f>
        <v>479.19273870309735</v>
      </c>
    </row>
    <row r="35" spans="1:3" x14ac:dyDescent="0.35">
      <c r="A35" s="24" t="s">
        <v>42</v>
      </c>
      <c r="B35" s="24"/>
      <c r="C35" s="24"/>
    </row>
    <row r="36" spans="1:3" x14ac:dyDescent="0.35">
      <c r="A36" s="19" t="s">
        <v>3</v>
      </c>
      <c r="B36" s="19" t="s">
        <v>4</v>
      </c>
      <c r="C36" s="19" t="s">
        <v>5</v>
      </c>
    </row>
    <row r="37" spans="1:3" x14ac:dyDescent="0.35">
      <c r="A37" s="1" t="s">
        <v>6</v>
      </c>
      <c r="B37" s="1" t="s">
        <v>43</v>
      </c>
      <c r="C37" s="40" t="s">
        <v>44</v>
      </c>
    </row>
    <row r="38" spans="1:3" x14ac:dyDescent="0.35">
      <c r="A38" s="1" t="s">
        <v>6</v>
      </c>
      <c r="B38" s="1" t="s">
        <v>45</v>
      </c>
      <c r="C38" s="40">
        <f>VLOOKUP(C37, 'Drop down 2'!A3:B8,2,FALSE)</f>
        <v>1781</v>
      </c>
    </row>
    <row r="39" spans="1:3" x14ac:dyDescent="0.35">
      <c r="A39" s="1" t="s">
        <v>6</v>
      </c>
      <c r="B39" s="1" t="s">
        <v>46</v>
      </c>
      <c r="C39" s="40">
        <v>0.45</v>
      </c>
    </row>
    <row r="40" spans="1:3" x14ac:dyDescent="0.35">
      <c r="A40" s="31" t="s">
        <v>14</v>
      </c>
      <c r="B40" s="38" t="s">
        <v>47</v>
      </c>
      <c r="C40" s="39">
        <f>C39*2000*C13</f>
        <v>2925.9982457078336</v>
      </c>
    </row>
    <row r="41" spans="1:3" x14ac:dyDescent="0.35">
      <c r="A41" s="31" t="s">
        <v>14</v>
      </c>
      <c r="B41" s="38" t="s">
        <v>48</v>
      </c>
      <c r="C41" s="39">
        <f>(C40/(C9/100))-C40</f>
        <v>2925.9982457078336</v>
      </c>
    </row>
    <row r="42" spans="1:3" x14ac:dyDescent="0.35">
      <c r="A42" s="31" t="s">
        <v>14</v>
      </c>
      <c r="B42" s="38" t="s">
        <v>13</v>
      </c>
      <c r="C42" s="38" t="str">
        <f>IF(C41&gt;C38,"Above Maintenance SOC Level","Below Maintenance SOC Level")</f>
        <v>Above Maintenance SOC Level</v>
      </c>
    </row>
    <row r="45" spans="1:3" x14ac:dyDescent="0.35">
      <c r="A45" s="25" t="s">
        <v>49</v>
      </c>
      <c r="B45" s="26"/>
      <c r="C45" s="26"/>
    </row>
    <row r="46" spans="1:3" x14ac:dyDescent="0.35">
      <c r="A46" s="19"/>
      <c r="B46" s="19"/>
      <c r="C46" s="19"/>
    </row>
    <row r="47" spans="1:3" x14ac:dyDescent="0.35">
      <c r="A47" s="1" t="s">
        <v>6</v>
      </c>
      <c r="B47" s="1" t="s">
        <v>50</v>
      </c>
      <c r="C47" s="41">
        <v>60</v>
      </c>
    </row>
    <row r="48" spans="1:3" x14ac:dyDescent="0.35">
      <c r="A48" s="1" t="s">
        <v>6</v>
      </c>
      <c r="B48" s="1" t="s">
        <v>51</v>
      </c>
      <c r="C48" s="41">
        <f>C47*C13</f>
        <v>195.06654971385555</v>
      </c>
    </row>
    <row r="49" spans="1:3" x14ac:dyDescent="0.35">
      <c r="A49" s="1" t="s">
        <v>6</v>
      </c>
      <c r="B49" s="1" t="s">
        <v>52</v>
      </c>
      <c r="C49" s="41">
        <v>40</v>
      </c>
    </row>
    <row r="50" spans="1:3" x14ac:dyDescent="0.35">
      <c r="A50" s="1" t="s">
        <v>6</v>
      </c>
      <c r="B50" s="1" t="s">
        <v>53</v>
      </c>
      <c r="C50" s="41">
        <f>SUM(E23,H27)</f>
        <v>56.963920305979372</v>
      </c>
    </row>
    <row r="51" spans="1:3" x14ac:dyDescent="0.35">
      <c r="A51" s="31" t="s">
        <v>14</v>
      </c>
      <c r="B51" s="31" t="s">
        <v>54</v>
      </c>
      <c r="C51" s="34">
        <f>C48-C49-C50</f>
        <v>98.102629407876179</v>
      </c>
    </row>
    <row r="55" spans="1:3" x14ac:dyDescent="0.35">
      <c r="A55" s="3" t="s">
        <v>55</v>
      </c>
    </row>
    <row r="56" spans="1:3" x14ac:dyDescent="0.35">
      <c r="A56" t="s">
        <v>56</v>
      </c>
    </row>
    <row r="57" spans="1:3" x14ac:dyDescent="0.35">
      <c r="A57" t="s">
        <v>57</v>
      </c>
    </row>
    <row r="58" spans="1:3" ht="15.5" x14ac:dyDescent="0.35">
      <c r="A58" s="12" t="s">
        <v>58</v>
      </c>
    </row>
    <row r="59" spans="1:3" x14ac:dyDescent="0.35">
      <c r="A59" t="s">
        <v>59</v>
      </c>
    </row>
    <row r="60" spans="1:3" x14ac:dyDescent="0.35">
      <c r="A60" t="s">
        <v>60</v>
      </c>
    </row>
  </sheetData>
  <mergeCells count="6">
    <mergeCell ref="A3:C3"/>
    <mergeCell ref="A2:C2"/>
    <mergeCell ref="A45:C45"/>
    <mergeCell ref="A35:C35"/>
    <mergeCell ref="A16:E16"/>
    <mergeCell ref="A25:H25"/>
  </mergeCells>
  <conditionalFormatting sqref="E4">
    <cfRule type="cellIs" dxfId="4" priority="5" operator="lessThan">
      <formula>0</formula>
    </cfRule>
    <cfRule type="cellIs" dxfId="3" priority="6" operator="greaterThan">
      <formula>0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2" priority="9" operator="greaterThan">
      <formula>0</formula>
    </cfRule>
  </conditionalFormatting>
  <conditionalFormatting sqref="E8">
    <cfRule type="containsText" dxfId="1" priority="1" operator="containsText" text="Above">
      <formula>NOT(ISERROR(SEARCH("Above",E8)))</formula>
    </cfRule>
    <cfRule type="containsText" dxfId="0" priority="2" operator="containsText" text="Below">
      <formula>NOT(ISERROR(SEARCH("Below",E8)))</formula>
    </cfRule>
    <cfRule type="colorScale" priority="3">
      <colorScale>
        <cfvo type="min"/>
        <cfvo type="max"/>
        <color rgb="FFFF7128"/>
        <color rgb="FFFFEF9C"/>
      </colorScale>
    </cfRule>
  </conditionalFormatting>
  <dataValidations count="2">
    <dataValidation type="list" allowBlank="1" showInputMessage="1" showErrorMessage="1" sqref="C37" xr:uid="{56DAD533-0D0A-49B2-98C1-CD37F1D80ACE}">
      <formula1>"Till - continuous cropping, Till - 1/3 fallow, Till - 1/2 fallow, No-till - continuous cropping, No-till - 1/3 fallow, No-till - 1/2 fallow"</formula1>
    </dataValidation>
    <dataValidation type="list" allowBlank="1" showInputMessage="1" showErrorMessage="1" sqref="E27" xr:uid="{52902B88-041C-4E4D-94EB-1B0DCDA91BF3}">
      <formula1>"Calcium Carbonate, Calcitic Limestone, Dolomitic Limestone, Sugar Beet Lime, Liquid Suspended Calcite"</formula1>
    </dataValidation>
  </dataValidations>
  <pageMargins left="0.7" right="0.7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872C42-19C2-4845-A2F1-FFD528DED4EF}">
          <x14:formula1>
            <xm:f>'Drop down 1'!$A$3:$A$56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58-F80B-43F6-AF41-14D4DD9A71BE}">
  <dimension ref="A5:A9"/>
  <sheetViews>
    <sheetView workbookViewId="0">
      <selection activeCell="X18" sqref="X18"/>
    </sheetView>
  </sheetViews>
  <sheetFormatPr defaultRowHeight="14.5" x14ac:dyDescent="0.35"/>
  <sheetData>
    <row r="5" spans="1:1" x14ac:dyDescent="0.35">
      <c r="A5" s="3" t="s">
        <v>55</v>
      </c>
    </row>
    <row r="6" spans="1:1" x14ac:dyDescent="0.35">
      <c r="A6" t="s">
        <v>56</v>
      </c>
    </row>
    <row r="7" spans="1:1" x14ac:dyDescent="0.35">
      <c r="A7" t="s">
        <v>57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6"/>
  <sheetViews>
    <sheetView topLeftCell="A40" zoomScale="110" zoomScaleNormal="110" workbookViewId="0">
      <selection activeCell="C9" sqref="C9"/>
    </sheetView>
  </sheetViews>
  <sheetFormatPr defaultRowHeight="14.5" x14ac:dyDescent="0.35"/>
  <cols>
    <col min="1" max="1" width="26.81640625" customWidth="1"/>
    <col min="2" max="2" width="22.81640625" style="16" customWidth="1"/>
    <col min="3" max="3" width="19.54296875" bestFit="1" customWidth="1"/>
    <col min="4" max="4" width="15.1796875" customWidth="1"/>
    <col min="5" max="5" width="7.453125" bestFit="1" customWidth="1"/>
  </cols>
  <sheetData>
    <row r="1" spans="1:2" x14ac:dyDescent="0.35">
      <c r="A1" s="27" t="s">
        <v>61</v>
      </c>
      <c r="B1" s="27"/>
    </row>
    <row r="2" spans="1:2" x14ac:dyDescent="0.35">
      <c r="A2" s="2" t="s">
        <v>11</v>
      </c>
      <c r="B2" s="14" t="s">
        <v>15</v>
      </c>
    </row>
    <row r="3" spans="1:2" x14ac:dyDescent="0.35">
      <c r="A3" s="2" t="s">
        <v>62</v>
      </c>
      <c r="B3" s="14">
        <v>0.37472058920887125</v>
      </c>
    </row>
    <row r="4" spans="1:2" x14ac:dyDescent="0.35">
      <c r="A4" s="2" t="s">
        <v>63</v>
      </c>
      <c r="B4" s="14">
        <v>0.40632058920887126</v>
      </c>
    </row>
    <row r="5" spans="1:2" x14ac:dyDescent="0.35">
      <c r="A5" s="5" t="s">
        <v>64</v>
      </c>
      <c r="B5" s="15">
        <v>0.38219999999999998</v>
      </c>
    </row>
    <row r="6" spans="1:2" x14ac:dyDescent="0.35">
      <c r="A6" s="5" t="s">
        <v>65</v>
      </c>
      <c r="B6" s="15">
        <v>0.37969999999999998</v>
      </c>
    </row>
    <row r="7" spans="1:2" x14ac:dyDescent="0.35">
      <c r="A7" s="5" t="s">
        <v>66</v>
      </c>
      <c r="B7" s="15">
        <v>0.3533</v>
      </c>
    </row>
    <row r="8" spans="1:2" x14ac:dyDescent="0.35">
      <c r="A8" s="5" t="s">
        <v>67</v>
      </c>
      <c r="B8" s="15">
        <v>0.376</v>
      </c>
    </row>
    <row r="9" spans="1:2" x14ac:dyDescent="0.35">
      <c r="A9" s="5" t="s">
        <v>68</v>
      </c>
      <c r="B9" s="15">
        <v>0.38</v>
      </c>
    </row>
    <row r="10" spans="1:2" x14ac:dyDescent="0.35">
      <c r="A10" s="13" t="s">
        <v>69</v>
      </c>
      <c r="B10" s="15">
        <v>0.35997941079112877</v>
      </c>
    </row>
    <row r="11" spans="1:2" x14ac:dyDescent="0.35">
      <c r="A11" s="13" t="s">
        <v>70</v>
      </c>
      <c r="B11" s="15">
        <v>0.37597941079112873</v>
      </c>
    </row>
    <row r="12" spans="1:2" x14ac:dyDescent="0.35">
      <c r="A12" s="13" t="s">
        <v>71</v>
      </c>
      <c r="B12" s="15">
        <v>0.34837941079112877</v>
      </c>
    </row>
    <row r="13" spans="1:2" x14ac:dyDescent="0.35">
      <c r="A13" s="5" t="s">
        <v>72</v>
      </c>
      <c r="B13" s="15">
        <v>0.3503</v>
      </c>
    </row>
    <row r="14" spans="1:2" x14ac:dyDescent="0.35">
      <c r="A14" s="13" t="s">
        <v>73</v>
      </c>
      <c r="B14" s="15">
        <v>0.36952058920887126</v>
      </c>
    </row>
    <row r="15" spans="1:2" x14ac:dyDescent="0.35">
      <c r="A15" s="5" t="s">
        <v>74</v>
      </c>
      <c r="B15" s="15">
        <v>0.3725</v>
      </c>
    </row>
    <row r="16" spans="1:2" x14ac:dyDescent="0.35">
      <c r="A16" s="13" t="s">
        <v>75</v>
      </c>
      <c r="B16" s="15">
        <v>0.40772058920887122</v>
      </c>
    </row>
    <row r="17" spans="1:2" x14ac:dyDescent="0.35">
      <c r="A17" s="13" t="s">
        <v>76</v>
      </c>
      <c r="B17" s="15">
        <v>0.41332058920887127</v>
      </c>
    </row>
    <row r="18" spans="1:2" x14ac:dyDescent="0.35">
      <c r="A18" s="13" t="s">
        <v>77</v>
      </c>
      <c r="B18" s="15">
        <v>0.40402058920887124</v>
      </c>
    </row>
    <row r="19" spans="1:2" x14ac:dyDescent="0.35">
      <c r="A19" s="5" t="s">
        <v>78</v>
      </c>
      <c r="B19" s="15">
        <v>0.36099999999999999</v>
      </c>
    </row>
    <row r="20" spans="1:2" x14ac:dyDescent="0.35">
      <c r="A20" s="5" t="s">
        <v>79</v>
      </c>
      <c r="B20" s="15">
        <v>0.40379999999999999</v>
      </c>
    </row>
    <row r="21" spans="1:2" x14ac:dyDescent="0.35">
      <c r="A21" s="13" t="s">
        <v>80</v>
      </c>
      <c r="B21" s="15">
        <v>0.38772058920887126</v>
      </c>
    </row>
    <row r="22" spans="1:2" x14ac:dyDescent="0.35">
      <c r="A22" t="s">
        <v>81</v>
      </c>
      <c r="B22" s="14">
        <v>0.42920000000000003</v>
      </c>
    </row>
    <row r="23" spans="1:2" x14ac:dyDescent="0.35">
      <c r="A23" s="13" t="s">
        <v>82</v>
      </c>
      <c r="B23" s="15">
        <v>0.39597941079112875</v>
      </c>
    </row>
    <row r="24" spans="1:2" x14ac:dyDescent="0.35">
      <c r="A24" s="13" t="s">
        <v>83</v>
      </c>
      <c r="B24" s="15">
        <v>0.44267941079112877</v>
      </c>
    </row>
    <row r="25" spans="1:2" x14ac:dyDescent="0.35">
      <c r="A25" s="5" t="s">
        <v>84</v>
      </c>
      <c r="B25" s="15">
        <v>0.4153</v>
      </c>
    </row>
    <row r="26" spans="1:2" x14ac:dyDescent="0.35">
      <c r="A26" s="13" t="s">
        <v>85</v>
      </c>
      <c r="B26" s="15">
        <v>0.25927941079112876</v>
      </c>
    </row>
    <row r="27" spans="1:2" x14ac:dyDescent="0.35">
      <c r="A27" s="13" t="s">
        <v>86</v>
      </c>
      <c r="B27" s="15">
        <v>0.38542058920887123</v>
      </c>
    </row>
    <row r="28" spans="1:2" x14ac:dyDescent="0.35">
      <c r="A28" s="5" t="s">
        <v>87</v>
      </c>
      <c r="B28" s="15">
        <v>0.36180000000000001</v>
      </c>
    </row>
    <row r="29" spans="1:2" x14ac:dyDescent="0.35">
      <c r="A29" s="5" t="s">
        <v>88</v>
      </c>
      <c r="B29" s="15">
        <v>0.4118</v>
      </c>
    </row>
    <row r="30" spans="1:2" x14ac:dyDescent="0.35">
      <c r="A30" s="13" t="s">
        <v>89</v>
      </c>
      <c r="B30" s="15">
        <v>0.37732058920887124</v>
      </c>
    </row>
    <row r="31" spans="1:2" x14ac:dyDescent="0.35">
      <c r="A31" s="13" t="s">
        <v>90</v>
      </c>
      <c r="B31" s="15">
        <v>0.40127941079112878</v>
      </c>
    </row>
    <row r="32" spans="1:2" x14ac:dyDescent="0.35">
      <c r="A32" s="5" t="s">
        <v>91</v>
      </c>
      <c r="B32" s="15">
        <v>0.36649999999999999</v>
      </c>
    </row>
    <row r="33" spans="1:2" x14ac:dyDescent="0.35">
      <c r="A33" s="13" t="s">
        <v>92</v>
      </c>
      <c r="B33" s="15">
        <v>0.35502058920887125</v>
      </c>
    </row>
    <row r="34" spans="1:2" x14ac:dyDescent="0.35">
      <c r="A34" s="5" t="s">
        <v>93</v>
      </c>
      <c r="B34" s="15">
        <v>0.36270000000000002</v>
      </c>
    </row>
    <row r="35" spans="1:2" x14ac:dyDescent="0.35">
      <c r="A35" s="5" t="s">
        <v>12</v>
      </c>
      <c r="B35" s="15">
        <v>0.3453</v>
      </c>
    </row>
    <row r="36" spans="1:2" x14ac:dyDescent="0.35">
      <c r="A36" s="5" t="s">
        <v>94</v>
      </c>
      <c r="B36" s="15">
        <v>0.376</v>
      </c>
    </row>
    <row r="37" spans="1:2" x14ac:dyDescent="0.35">
      <c r="A37" s="5" t="s">
        <v>95</v>
      </c>
      <c r="B37" s="15">
        <v>0.38329999999999997</v>
      </c>
    </row>
    <row r="38" spans="1:2" x14ac:dyDescent="0.35">
      <c r="A38" s="5" t="s">
        <v>96</v>
      </c>
      <c r="B38" s="15">
        <v>0.35249999999999998</v>
      </c>
    </row>
    <row r="39" spans="1:2" x14ac:dyDescent="0.35">
      <c r="A39" s="13" t="s">
        <v>97</v>
      </c>
      <c r="B39" s="15">
        <v>0.36502058920887126</v>
      </c>
    </row>
    <row r="40" spans="1:2" x14ac:dyDescent="0.35">
      <c r="A40" s="5" t="s">
        <v>98</v>
      </c>
      <c r="B40" s="15">
        <v>0.35199999999999998</v>
      </c>
    </row>
    <row r="41" spans="1:2" x14ac:dyDescent="0.35">
      <c r="A41" t="s">
        <v>99</v>
      </c>
      <c r="B41" s="14">
        <v>0.28120000000000001</v>
      </c>
    </row>
    <row r="42" spans="1:2" x14ac:dyDescent="0.35">
      <c r="A42" s="13" t="s">
        <v>100</v>
      </c>
      <c r="B42" s="15">
        <v>0.39727941079112877</v>
      </c>
    </row>
    <row r="43" spans="1:2" x14ac:dyDescent="0.35">
      <c r="A43" s="13" t="s">
        <v>101</v>
      </c>
      <c r="B43" s="15">
        <v>0.40502058920887124</v>
      </c>
    </row>
    <row r="44" spans="1:2" x14ac:dyDescent="0.35">
      <c r="A44" s="5" t="s">
        <v>102</v>
      </c>
      <c r="B44" s="15">
        <v>0.38150000000000001</v>
      </c>
    </row>
    <row r="45" spans="1:2" x14ac:dyDescent="0.35">
      <c r="A45" s="5" t="s">
        <v>103</v>
      </c>
      <c r="B45" s="14">
        <f>AVERAGE(B1:B44)</f>
        <v>0.37642577040084485</v>
      </c>
    </row>
    <row r="46" spans="1:2" x14ac:dyDescent="0.35">
      <c r="A46" s="13" t="s">
        <v>104</v>
      </c>
      <c r="B46" s="14">
        <v>0.31167941079112876</v>
      </c>
    </row>
    <row r="47" spans="1:2" x14ac:dyDescent="0.35">
      <c r="A47" s="5" t="s">
        <v>105</v>
      </c>
      <c r="B47" s="15">
        <v>0.37480000000000002</v>
      </c>
    </row>
    <row r="48" spans="1:2" x14ac:dyDescent="0.35">
      <c r="A48" s="5" t="s">
        <v>106</v>
      </c>
      <c r="B48" s="15">
        <v>0.36699999999999999</v>
      </c>
    </row>
    <row r="49" spans="1:2" x14ac:dyDescent="0.35">
      <c r="A49" s="13" t="s">
        <v>107</v>
      </c>
      <c r="B49" s="15">
        <v>0.40997941079112876</v>
      </c>
    </row>
    <row r="50" spans="1:2" x14ac:dyDescent="0.35">
      <c r="A50" s="5" t="s">
        <v>108</v>
      </c>
      <c r="B50" s="15">
        <v>0.39550000000000002</v>
      </c>
    </row>
    <row r="51" spans="1:2" x14ac:dyDescent="0.35">
      <c r="A51" s="5" t="s">
        <v>109</v>
      </c>
      <c r="B51" s="15">
        <v>0.38550000000000001</v>
      </c>
    </row>
    <row r="52" spans="1:2" x14ac:dyDescent="0.35">
      <c r="A52" s="5" t="s">
        <v>110</v>
      </c>
      <c r="B52" s="15">
        <v>0.31330000000000002</v>
      </c>
    </row>
    <row r="53" spans="1:2" x14ac:dyDescent="0.35">
      <c r="A53" s="5" t="s">
        <v>111</v>
      </c>
      <c r="B53" s="15">
        <v>0.33150000000000002</v>
      </c>
    </row>
    <row r="54" spans="1:2" x14ac:dyDescent="0.35">
      <c r="A54" s="13" t="s">
        <v>112</v>
      </c>
      <c r="B54" s="15">
        <v>0.36197941079112878</v>
      </c>
    </row>
    <row r="55" spans="1:2" x14ac:dyDescent="0.35">
      <c r="A55" s="5" t="s">
        <v>113</v>
      </c>
      <c r="B55" s="15">
        <v>0.35670000000000002</v>
      </c>
    </row>
    <row r="56" spans="1:2" x14ac:dyDescent="0.35">
      <c r="A56" s="5" t="s">
        <v>114</v>
      </c>
      <c r="B56" s="15">
        <v>0.37</v>
      </c>
    </row>
  </sheetData>
  <sortState xmlns:xlrd2="http://schemas.microsoft.com/office/spreadsheetml/2017/richdata2" ref="A3:B56">
    <sortCondition ref="A3:A56"/>
  </sortState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6917-EDB8-46CF-A128-BFA49F6D125A}">
  <dimension ref="A1:G23"/>
  <sheetViews>
    <sheetView topLeftCell="A14" workbookViewId="0">
      <selection activeCell="H7" sqref="H7"/>
    </sheetView>
  </sheetViews>
  <sheetFormatPr defaultRowHeight="14.5" x14ac:dyDescent="0.35"/>
  <cols>
    <col min="1" max="1" width="26.54296875" customWidth="1"/>
    <col min="2" max="2" width="29.81640625" customWidth="1"/>
  </cols>
  <sheetData>
    <row r="1" spans="1:3" x14ac:dyDescent="0.35">
      <c r="A1" s="27" t="s">
        <v>115</v>
      </c>
      <c r="B1" s="27"/>
    </row>
    <row r="2" spans="1:3" x14ac:dyDescent="0.35">
      <c r="A2" s="2" t="s">
        <v>116</v>
      </c>
      <c r="B2" s="14" t="s">
        <v>117</v>
      </c>
    </row>
    <row r="3" spans="1:3" x14ac:dyDescent="0.35">
      <c r="A3" s="2" t="s">
        <v>118</v>
      </c>
      <c r="B3" s="14">
        <v>1964</v>
      </c>
      <c r="C3" t="s">
        <v>119</v>
      </c>
    </row>
    <row r="4" spans="1:3" x14ac:dyDescent="0.35">
      <c r="A4" s="2" t="s">
        <v>120</v>
      </c>
      <c r="B4" s="14">
        <v>2672</v>
      </c>
      <c r="C4" t="s">
        <v>121</v>
      </c>
    </row>
    <row r="5" spans="1:3" x14ac:dyDescent="0.35">
      <c r="A5" s="2" t="s">
        <v>122</v>
      </c>
      <c r="B5" s="14">
        <v>3571</v>
      </c>
      <c r="C5" t="s">
        <v>123</v>
      </c>
    </row>
    <row r="6" spans="1:3" x14ac:dyDescent="0.35">
      <c r="A6" s="2" t="s">
        <v>44</v>
      </c>
      <c r="B6" s="14">
        <v>1781</v>
      </c>
      <c r="C6" t="s">
        <v>121</v>
      </c>
    </row>
    <row r="7" spans="1:3" x14ac:dyDescent="0.35">
      <c r="A7" s="2" t="s">
        <v>124</v>
      </c>
      <c r="B7" s="14">
        <v>2190</v>
      </c>
      <c r="C7">
        <v>2190</v>
      </c>
    </row>
    <row r="8" spans="1:3" x14ac:dyDescent="0.35">
      <c r="A8" s="2" t="s">
        <v>125</v>
      </c>
      <c r="B8" s="14">
        <v>2947</v>
      </c>
      <c r="C8">
        <v>2947</v>
      </c>
    </row>
    <row r="13" spans="1:3" x14ac:dyDescent="0.35">
      <c r="A13" t="s">
        <v>126</v>
      </c>
    </row>
    <row r="18" spans="3:7" x14ac:dyDescent="0.35">
      <c r="C18" t="s">
        <v>127</v>
      </c>
      <c r="G18" t="s">
        <v>128</v>
      </c>
    </row>
    <row r="19" spans="3:7" x14ac:dyDescent="0.35">
      <c r="C19">
        <f>(1781/0.74)*0.91</f>
        <v>2190.1486486486488</v>
      </c>
      <c r="G19">
        <f>(1781/0.55)*0.91</f>
        <v>2946.7454545454543</v>
      </c>
    </row>
    <row r="21" spans="3:7" x14ac:dyDescent="0.35">
      <c r="C21" t="s">
        <v>129</v>
      </c>
    </row>
    <row r="22" spans="3:7" x14ac:dyDescent="0.35">
      <c r="C22" t="s">
        <v>130</v>
      </c>
    </row>
    <row r="23" spans="3:7" x14ac:dyDescent="0.35">
      <c r="C23" t="s">
        <v>131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5052-0D69-4D1B-92D6-6CA229A91383}">
  <dimension ref="A1:B7"/>
  <sheetViews>
    <sheetView workbookViewId="0">
      <selection activeCell="B8" sqref="B8"/>
    </sheetView>
  </sheetViews>
  <sheetFormatPr defaultRowHeight="14.5" x14ac:dyDescent="0.35"/>
  <cols>
    <col min="1" max="1" width="25" customWidth="1"/>
    <col min="2" max="2" width="15.54296875" customWidth="1"/>
  </cols>
  <sheetData>
    <row r="1" spans="1:2" x14ac:dyDescent="0.35">
      <c r="A1" s="24" t="s">
        <v>132</v>
      </c>
      <c r="B1" s="24"/>
    </row>
    <row r="2" spans="1:2" x14ac:dyDescent="0.35">
      <c r="A2" s="2" t="s">
        <v>133</v>
      </c>
      <c r="B2" s="14" t="s">
        <v>134</v>
      </c>
    </row>
    <row r="3" spans="1:2" x14ac:dyDescent="0.35">
      <c r="A3" s="2" t="s">
        <v>135</v>
      </c>
      <c r="B3" s="22">
        <v>1</v>
      </c>
    </row>
    <row r="4" spans="1:2" x14ac:dyDescent="0.35">
      <c r="A4" s="2" t="s">
        <v>136</v>
      </c>
      <c r="B4" s="22">
        <v>0.97</v>
      </c>
    </row>
    <row r="5" spans="1:2" x14ac:dyDescent="0.35">
      <c r="A5" s="2" t="s">
        <v>137</v>
      </c>
      <c r="B5" s="22">
        <v>1.05</v>
      </c>
    </row>
    <row r="6" spans="1:2" x14ac:dyDescent="0.35">
      <c r="A6" s="2" t="s">
        <v>38</v>
      </c>
      <c r="B6" s="22">
        <v>0.77</v>
      </c>
    </row>
    <row r="7" spans="1:2" x14ac:dyDescent="0.35">
      <c r="A7" s="2" t="s">
        <v>138</v>
      </c>
      <c r="B7" s="22">
        <v>0.94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DDEBD-4C3B-4472-8CFF-FA5815803676}">
  <dimension ref="A1:B20"/>
  <sheetViews>
    <sheetView workbookViewId="0">
      <selection activeCell="L15" sqref="L15"/>
    </sheetView>
  </sheetViews>
  <sheetFormatPr defaultRowHeight="14.5" x14ac:dyDescent="0.35"/>
  <cols>
    <col min="1" max="1" width="33.7265625" customWidth="1"/>
    <col min="2" max="2" width="17.54296875" customWidth="1"/>
  </cols>
  <sheetData>
    <row r="1" spans="1:2" x14ac:dyDescent="0.35">
      <c r="A1" s="25" t="s">
        <v>132</v>
      </c>
      <c r="B1" s="28"/>
    </row>
    <row r="2" spans="1:2" x14ac:dyDescent="0.35">
      <c r="A2" s="2" t="s">
        <v>133</v>
      </c>
      <c r="B2" s="2" t="s">
        <v>139</v>
      </c>
    </row>
    <row r="3" spans="1:2" x14ac:dyDescent="0.35">
      <c r="A3" s="2" t="s">
        <v>135</v>
      </c>
      <c r="B3" s="2"/>
    </row>
    <row r="4" spans="1:2" x14ac:dyDescent="0.35">
      <c r="A4" s="2" t="s">
        <v>136</v>
      </c>
      <c r="B4" s="2"/>
    </row>
    <row r="5" spans="1:2" x14ac:dyDescent="0.35">
      <c r="A5" s="2" t="s">
        <v>137</v>
      </c>
      <c r="B5" s="2">
        <v>85</v>
      </c>
    </row>
    <row r="6" spans="1:2" x14ac:dyDescent="0.35">
      <c r="A6" s="2" t="s">
        <v>38</v>
      </c>
      <c r="B6" s="2">
        <v>50</v>
      </c>
    </row>
    <row r="7" spans="1:2" x14ac:dyDescent="0.35">
      <c r="A7" s="2" t="s">
        <v>138</v>
      </c>
      <c r="B7" s="2">
        <v>285</v>
      </c>
    </row>
    <row r="20" spans="1:1" x14ac:dyDescent="0.35">
      <c r="A20" t="s">
        <v>140</v>
      </c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5FF0-95FB-47B8-B462-45E9E1F935B2}">
  <dimension ref="A1:I17"/>
  <sheetViews>
    <sheetView workbookViewId="0">
      <selection activeCell="D23" sqref="D23"/>
    </sheetView>
  </sheetViews>
  <sheetFormatPr defaultRowHeight="14.5" x14ac:dyDescent="0.35"/>
  <cols>
    <col min="1" max="1" width="23.81640625" customWidth="1"/>
    <col min="2" max="2" width="27.1796875" customWidth="1"/>
    <col min="4" max="4" width="17.1796875" customWidth="1"/>
    <col min="7" max="7" width="31.26953125" customWidth="1"/>
    <col min="8" max="8" width="20.1796875" customWidth="1"/>
  </cols>
  <sheetData>
    <row r="1" spans="1:9" x14ac:dyDescent="0.35">
      <c r="A1" s="27" t="s">
        <v>141</v>
      </c>
      <c r="B1" s="27"/>
      <c r="G1" s="27" t="s">
        <v>115</v>
      </c>
      <c r="H1" s="27"/>
    </row>
    <row r="2" spans="1:9" x14ac:dyDescent="0.35">
      <c r="A2" s="2" t="s">
        <v>116</v>
      </c>
      <c r="B2" s="14" t="s">
        <v>117</v>
      </c>
      <c r="G2" s="2" t="s">
        <v>116</v>
      </c>
      <c r="H2" s="14" t="s">
        <v>117</v>
      </c>
    </row>
    <row r="3" spans="1:9" x14ac:dyDescent="0.35">
      <c r="A3" s="2" t="s">
        <v>142</v>
      </c>
      <c r="B3" s="14">
        <v>1606</v>
      </c>
      <c r="G3" s="2" t="s">
        <v>118</v>
      </c>
      <c r="H3" s="14">
        <v>1964</v>
      </c>
      <c r="I3" t="s">
        <v>119</v>
      </c>
    </row>
    <row r="4" spans="1:9" x14ac:dyDescent="0.35">
      <c r="A4" s="2" t="s">
        <v>143</v>
      </c>
      <c r="B4" s="14">
        <v>2230.4</v>
      </c>
      <c r="G4" s="2" t="s">
        <v>120</v>
      </c>
      <c r="H4" s="14"/>
    </row>
    <row r="5" spans="1:9" x14ac:dyDescent="0.35">
      <c r="G5" s="2" t="s">
        <v>122</v>
      </c>
      <c r="H5" s="14">
        <v>3571</v>
      </c>
      <c r="I5" t="s">
        <v>123</v>
      </c>
    </row>
    <row r="6" spans="1:9" x14ac:dyDescent="0.35">
      <c r="G6" s="2" t="s">
        <v>44</v>
      </c>
      <c r="H6" s="14">
        <v>1781</v>
      </c>
      <c r="I6" t="s">
        <v>121</v>
      </c>
    </row>
    <row r="7" spans="1:9" x14ac:dyDescent="0.35">
      <c r="G7" s="2" t="s">
        <v>124</v>
      </c>
      <c r="H7" s="14"/>
    </row>
    <row r="8" spans="1:9" x14ac:dyDescent="0.35">
      <c r="A8" t="s">
        <v>144</v>
      </c>
      <c r="B8">
        <v>2571</v>
      </c>
      <c r="C8" t="s">
        <v>145</v>
      </c>
      <c r="G8" s="2" t="s">
        <v>125</v>
      </c>
      <c r="H8" s="14"/>
    </row>
    <row r="9" spans="1:9" x14ac:dyDescent="0.35">
      <c r="A9" t="s">
        <v>118</v>
      </c>
      <c r="B9">
        <v>1785</v>
      </c>
      <c r="C9" t="s">
        <v>145</v>
      </c>
    </row>
    <row r="10" spans="1:9" x14ac:dyDescent="0.35">
      <c r="A10" t="s">
        <v>144</v>
      </c>
      <c r="B10">
        <v>2544</v>
      </c>
      <c r="C10" t="s">
        <v>119</v>
      </c>
    </row>
    <row r="11" spans="1:9" x14ac:dyDescent="0.35">
      <c r="A11" t="s">
        <v>118</v>
      </c>
      <c r="B11">
        <v>1964</v>
      </c>
      <c r="C11" t="s">
        <v>119</v>
      </c>
    </row>
    <row r="13" spans="1:9" x14ac:dyDescent="0.35">
      <c r="A13" t="s">
        <v>44</v>
      </c>
      <c r="B13">
        <v>1607</v>
      </c>
      <c r="C13" t="s">
        <v>146</v>
      </c>
      <c r="H13">
        <f>1781*2</f>
        <v>3562</v>
      </c>
    </row>
    <row r="14" spans="1:9" x14ac:dyDescent="0.35">
      <c r="H14">
        <f>1964*2</f>
        <v>3928</v>
      </c>
    </row>
    <row r="15" spans="1:9" x14ac:dyDescent="0.35">
      <c r="A15" t="s">
        <v>44</v>
      </c>
      <c r="B15" t="s">
        <v>147</v>
      </c>
      <c r="C15" t="s">
        <v>121</v>
      </c>
      <c r="D15">
        <f>2000*2.2/2.47</f>
        <v>1781.3765182186232</v>
      </c>
    </row>
    <row r="16" spans="1:9" x14ac:dyDescent="0.35">
      <c r="A16" t="s">
        <v>120</v>
      </c>
      <c r="B16" t="s">
        <v>148</v>
      </c>
      <c r="C16" t="s">
        <v>121</v>
      </c>
      <c r="D16">
        <f>3000*2.2/2.47</f>
        <v>2672.0647773279352</v>
      </c>
    </row>
    <row r="17" spans="1:4" x14ac:dyDescent="0.35">
      <c r="A17" t="s">
        <v>122</v>
      </c>
      <c r="B17" t="s">
        <v>149</v>
      </c>
      <c r="C17" t="s">
        <v>121</v>
      </c>
      <c r="D17">
        <f>4000*2.2/2.47</f>
        <v>3562.7530364372465</v>
      </c>
    </row>
  </sheetData>
  <mergeCells count="2">
    <mergeCell ref="A1:B1"/>
    <mergeCell ref="G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C83E-A3B3-4120-B67B-EA7F1A497C3C}">
  <dimension ref="A1:S21"/>
  <sheetViews>
    <sheetView workbookViewId="0">
      <selection activeCell="D8" sqref="D8"/>
    </sheetView>
  </sheetViews>
  <sheetFormatPr defaultRowHeight="14.5" x14ac:dyDescent="0.35"/>
  <cols>
    <col min="1" max="1" width="12.1796875" bestFit="1" customWidth="1"/>
  </cols>
  <sheetData>
    <row r="1" spans="1:19" x14ac:dyDescent="0.35">
      <c r="A1" t="s">
        <v>150</v>
      </c>
      <c r="B1" t="s">
        <v>151</v>
      </c>
      <c r="C1" t="s">
        <v>151</v>
      </c>
      <c r="D1" t="s">
        <v>152</v>
      </c>
      <c r="E1" t="s">
        <v>152</v>
      </c>
      <c r="F1" t="s">
        <v>153</v>
      </c>
      <c r="G1" t="s">
        <v>153</v>
      </c>
      <c r="H1" t="s">
        <v>154</v>
      </c>
      <c r="I1" t="s">
        <v>154</v>
      </c>
      <c r="J1" t="s">
        <v>155</v>
      </c>
      <c r="K1" t="s">
        <v>155</v>
      </c>
      <c r="L1" t="s">
        <v>156</v>
      </c>
      <c r="M1" t="s">
        <v>156</v>
      </c>
      <c r="N1" t="s">
        <v>157</v>
      </c>
      <c r="O1" t="s">
        <v>157</v>
      </c>
      <c r="P1" t="s">
        <v>158</v>
      </c>
      <c r="Q1" t="s">
        <v>158</v>
      </c>
      <c r="R1" t="s">
        <v>159</v>
      </c>
      <c r="S1" t="s">
        <v>159</v>
      </c>
    </row>
    <row r="2" spans="1:19" x14ac:dyDescent="0.35">
      <c r="A2" t="s">
        <v>160</v>
      </c>
      <c r="B2">
        <v>439</v>
      </c>
      <c r="C2" t="s">
        <v>161</v>
      </c>
      <c r="D2">
        <v>2360</v>
      </c>
      <c r="E2" t="s">
        <v>162</v>
      </c>
      <c r="F2">
        <v>1581</v>
      </c>
      <c r="G2" t="s">
        <v>163</v>
      </c>
      <c r="H2">
        <v>14574</v>
      </c>
      <c r="I2" t="s">
        <v>164</v>
      </c>
      <c r="J2">
        <v>518</v>
      </c>
      <c r="K2" t="s">
        <v>163</v>
      </c>
      <c r="L2">
        <v>16.899999999999999</v>
      </c>
      <c r="M2" t="s">
        <v>165</v>
      </c>
      <c r="N2">
        <v>402</v>
      </c>
      <c r="O2" t="s">
        <v>166</v>
      </c>
      <c r="P2">
        <v>6.36</v>
      </c>
      <c r="Q2" t="s">
        <v>164</v>
      </c>
      <c r="R2">
        <v>0.95</v>
      </c>
      <c r="S2" t="s">
        <v>164</v>
      </c>
    </row>
    <row r="3" spans="1:19" x14ac:dyDescent="0.35">
      <c r="A3" t="s">
        <v>167</v>
      </c>
      <c r="B3">
        <v>504</v>
      </c>
      <c r="C3" t="s">
        <v>168</v>
      </c>
      <c r="D3">
        <v>2359</v>
      </c>
      <c r="E3" t="s">
        <v>168</v>
      </c>
      <c r="F3">
        <v>1152</v>
      </c>
      <c r="G3" t="s">
        <v>169</v>
      </c>
      <c r="H3">
        <v>12920</v>
      </c>
      <c r="I3" t="s">
        <v>164</v>
      </c>
      <c r="J3">
        <v>334</v>
      </c>
      <c r="K3" t="s">
        <v>170</v>
      </c>
      <c r="L3">
        <v>18.3</v>
      </c>
      <c r="M3" t="s">
        <v>171</v>
      </c>
      <c r="N3">
        <v>404</v>
      </c>
      <c r="O3" t="s">
        <v>168</v>
      </c>
      <c r="P3">
        <v>6.37</v>
      </c>
      <c r="Q3" t="s">
        <v>164</v>
      </c>
      <c r="R3">
        <v>0.94</v>
      </c>
      <c r="S3" t="s">
        <v>164</v>
      </c>
    </row>
    <row r="4" spans="1:19" x14ac:dyDescent="0.35">
      <c r="A4" t="s">
        <v>172</v>
      </c>
      <c r="B4">
        <v>537</v>
      </c>
      <c r="C4" t="s">
        <v>164</v>
      </c>
      <c r="D4">
        <v>2478</v>
      </c>
      <c r="E4" t="s">
        <v>163</v>
      </c>
      <c r="F4">
        <v>1296</v>
      </c>
      <c r="G4" t="s">
        <v>173</v>
      </c>
      <c r="H4">
        <v>15943</v>
      </c>
      <c r="I4" t="s">
        <v>163</v>
      </c>
      <c r="J4">
        <v>399</v>
      </c>
      <c r="K4" t="s">
        <v>161</v>
      </c>
      <c r="L4">
        <v>17.2</v>
      </c>
      <c r="M4" t="s">
        <v>174</v>
      </c>
      <c r="N4">
        <v>389</v>
      </c>
      <c r="O4" t="s">
        <v>173</v>
      </c>
      <c r="P4">
        <v>6.56</v>
      </c>
      <c r="Q4" t="s">
        <v>164</v>
      </c>
      <c r="R4">
        <v>0.88900000000000001</v>
      </c>
      <c r="S4" t="s">
        <v>164</v>
      </c>
    </row>
    <row r="5" spans="1:19" x14ac:dyDescent="0.35">
      <c r="A5" t="s">
        <v>175</v>
      </c>
      <c r="B5">
        <v>454</v>
      </c>
      <c r="C5" t="s">
        <v>166</v>
      </c>
      <c r="D5">
        <v>2172</v>
      </c>
      <c r="E5" t="s">
        <v>166</v>
      </c>
      <c r="F5">
        <v>1066</v>
      </c>
      <c r="G5" t="s">
        <v>176</v>
      </c>
      <c r="H5">
        <v>13942</v>
      </c>
      <c r="I5" t="s">
        <v>164</v>
      </c>
      <c r="J5">
        <v>446</v>
      </c>
      <c r="K5" t="s">
        <v>168</v>
      </c>
      <c r="L5">
        <v>17.100000000000001</v>
      </c>
      <c r="M5" t="s">
        <v>174</v>
      </c>
      <c r="N5">
        <v>398</v>
      </c>
      <c r="O5" t="s">
        <v>177</v>
      </c>
      <c r="P5">
        <v>6.33</v>
      </c>
      <c r="Q5" t="s">
        <v>164</v>
      </c>
      <c r="R5">
        <v>0.97</v>
      </c>
      <c r="S5" t="s">
        <v>164</v>
      </c>
    </row>
    <row r="6" spans="1:19" x14ac:dyDescent="0.35">
      <c r="A6" t="s">
        <v>178</v>
      </c>
      <c r="B6">
        <v>398</v>
      </c>
      <c r="C6" t="s">
        <v>179</v>
      </c>
      <c r="D6">
        <v>1892</v>
      </c>
      <c r="E6" t="s">
        <v>170</v>
      </c>
      <c r="F6">
        <v>1313</v>
      </c>
      <c r="G6" t="s">
        <v>173</v>
      </c>
      <c r="H6">
        <v>13438</v>
      </c>
      <c r="I6" t="s">
        <v>164</v>
      </c>
      <c r="J6">
        <v>360</v>
      </c>
      <c r="K6" t="s">
        <v>180</v>
      </c>
      <c r="L6">
        <v>31</v>
      </c>
      <c r="M6" t="s">
        <v>163</v>
      </c>
      <c r="N6">
        <v>407</v>
      </c>
      <c r="O6" t="s">
        <v>162</v>
      </c>
      <c r="P6">
        <v>6.3</v>
      </c>
      <c r="Q6" t="s">
        <v>164</v>
      </c>
      <c r="R6">
        <v>0.93799999999999994</v>
      </c>
      <c r="S6" t="s">
        <v>164</v>
      </c>
    </row>
    <row r="7" spans="1:19" x14ac:dyDescent="0.35">
      <c r="A7" t="s">
        <v>181</v>
      </c>
      <c r="B7">
        <v>446</v>
      </c>
      <c r="C7" t="s">
        <v>166</v>
      </c>
      <c r="D7">
        <v>2046</v>
      </c>
      <c r="E7" t="s">
        <v>161</v>
      </c>
      <c r="F7">
        <v>1568</v>
      </c>
      <c r="G7" t="s">
        <v>164</v>
      </c>
      <c r="H7">
        <v>14647</v>
      </c>
      <c r="I7" t="s">
        <v>164</v>
      </c>
      <c r="J7">
        <v>428</v>
      </c>
      <c r="K7" t="s">
        <v>161</v>
      </c>
      <c r="L7">
        <v>18</v>
      </c>
      <c r="M7" t="s">
        <v>161</v>
      </c>
      <c r="N7">
        <v>395</v>
      </c>
      <c r="O7" t="s">
        <v>177</v>
      </c>
      <c r="P7">
        <v>6.53</v>
      </c>
      <c r="Q7" t="s">
        <v>164</v>
      </c>
      <c r="R7">
        <v>0.92300000000000004</v>
      </c>
      <c r="S7" t="s">
        <v>164</v>
      </c>
    </row>
    <row r="8" spans="1:19" x14ac:dyDescent="0.35">
      <c r="A8" t="s">
        <v>182</v>
      </c>
      <c r="B8">
        <v>380</v>
      </c>
      <c r="C8" t="s">
        <v>170</v>
      </c>
      <c r="D8">
        <v>1772</v>
      </c>
      <c r="E8" t="s">
        <v>170</v>
      </c>
      <c r="F8">
        <v>999</v>
      </c>
      <c r="G8" t="s">
        <v>183</v>
      </c>
      <c r="H8">
        <v>14260</v>
      </c>
      <c r="I8" t="s">
        <v>164</v>
      </c>
      <c r="J8">
        <v>360</v>
      </c>
      <c r="K8" t="s">
        <v>180</v>
      </c>
      <c r="L8">
        <v>18.399999999999999</v>
      </c>
      <c r="M8" t="s">
        <v>184</v>
      </c>
      <c r="N8">
        <v>396</v>
      </c>
      <c r="O8" t="s">
        <v>177</v>
      </c>
      <c r="P8">
        <v>6.43</v>
      </c>
      <c r="Q8" t="s">
        <v>164</v>
      </c>
      <c r="R8">
        <v>0.97899999999999998</v>
      </c>
      <c r="S8" t="s">
        <v>164</v>
      </c>
    </row>
    <row r="9" spans="1:19" x14ac:dyDescent="0.35">
      <c r="A9" t="s">
        <v>185</v>
      </c>
      <c r="B9">
        <v>448</v>
      </c>
      <c r="C9" t="s">
        <v>166</v>
      </c>
      <c r="D9">
        <v>1929</v>
      </c>
      <c r="E9" t="s">
        <v>170</v>
      </c>
      <c r="F9">
        <v>1392</v>
      </c>
      <c r="G9" t="s">
        <v>168</v>
      </c>
      <c r="H9">
        <v>15650</v>
      </c>
      <c r="I9" t="s">
        <v>163</v>
      </c>
      <c r="J9">
        <v>432</v>
      </c>
      <c r="K9" t="s">
        <v>168</v>
      </c>
      <c r="L9">
        <v>18.600000000000001</v>
      </c>
      <c r="M9" t="s">
        <v>184</v>
      </c>
      <c r="N9">
        <v>399</v>
      </c>
      <c r="O9" t="s">
        <v>177</v>
      </c>
      <c r="P9">
        <v>6.41</v>
      </c>
      <c r="Q9" t="s">
        <v>164</v>
      </c>
      <c r="R9">
        <v>1.006</v>
      </c>
      <c r="S9" t="s">
        <v>164</v>
      </c>
    </row>
    <row r="10" spans="1:19" x14ac:dyDescent="0.35">
      <c r="A10" t="s">
        <v>186</v>
      </c>
      <c r="B10">
        <v>454</v>
      </c>
      <c r="C10" t="s">
        <v>166</v>
      </c>
      <c r="D10">
        <v>2417</v>
      </c>
      <c r="E10" t="s">
        <v>164</v>
      </c>
      <c r="F10">
        <v>1505</v>
      </c>
      <c r="G10" t="s">
        <v>162</v>
      </c>
      <c r="H10">
        <v>14145</v>
      </c>
      <c r="I10" t="s">
        <v>164</v>
      </c>
      <c r="J10">
        <v>477</v>
      </c>
      <c r="K10" t="s">
        <v>164</v>
      </c>
      <c r="L10">
        <v>18.100000000000001</v>
      </c>
      <c r="M10" t="s">
        <v>161</v>
      </c>
      <c r="N10">
        <v>394</v>
      </c>
      <c r="O10" t="s">
        <v>177</v>
      </c>
      <c r="P10">
        <v>6.49</v>
      </c>
      <c r="Q10" t="s">
        <v>164</v>
      </c>
      <c r="R10">
        <v>0.98899999999999999</v>
      </c>
      <c r="S10" t="s">
        <v>164</v>
      </c>
    </row>
    <row r="11" spans="1:19" x14ac:dyDescent="0.35">
      <c r="A11" t="s">
        <v>187</v>
      </c>
      <c r="B11">
        <v>454</v>
      </c>
      <c r="C11" t="s">
        <v>166</v>
      </c>
      <c r="D11">
        <v>1966</v>
      </c>
      <c r="E11" t="s">
        <v>179</v>
      </c>
      <c r="F11">
        <v>1131</v>
      </c>
      <c r="G11" t="s">
        <v>188</v>
      </c>
      <c r="H11">
        <v>15688</v>
      </c>
      <c r="I11" t="s">
        <v>163</v>
      </c>
      <c r="J11">
        <v>356</v>
      </c>
      <c r="K11" t="s">
        <v>180</v>
      </c>
      <c r="L11">
        <v>17.2</v>
      </c>
      <c r="M11" t="s">
        <v>174</v>
      </c>
      <c r="N11">
        <v>399</v>
      </c>
      <c r="O11" t="s">
        <v>177</v>
      </c>
      <c r="P11">
        <v>6.45</v>
      </c>
      <c r="Q11" t="s">
        <v>164</v>
      </c>
      <c r="R11">
        <v>0.96</v>
      </c>
      <c r="S11" t="s">
        <v>164</v>
      </c>
    </row>
    <row r="12" spans="1:19" x14ac:dyDescent="0.35">
      <c r="A12" t="s">
        <v>189</v>
      </c>
      <c r="B12">
        <v>426</v>
      </c>
      <c r="C12" t="s">
        <v>161</v>
      </c>
      <c r="D12">
        <v>1981</v>
      </c>
      <c r="E12" t="s">
        <v>179</v>
      </c>
      <c r="F12">
        <v>1283</v>
      </c>
      <c r="G12" t="s">
        <v>190</v>
      </c>
      <c r="H12">
        <v>12707</v>
      </c>
      <c r="I12" t="s">
        <v>164</v>
      </c>
      <c r="J12">
        <v>348</v>
      </c>
      <c r="K12" t="s">
        <v>180</v>
      </c>
      <c r="L12">
        <v>18.2</v>
      </c>
      <c r="M12" t="s">
        <v>161</v>
      </c>
      <c r="N12">
        <v>412</v>
      </c>
      <c r="O12" t="s">
        <v>163</v>
      </c>
      <c r="P12">
        <v>6.16</v>
      </c>
      <c r="Q12" t="s">
        <v>184</v>
      </c>
      <c r="R12">
        <v>1.0129999999999999</v>
      </c>
      <c r="S12" t="s">
        <v>163</v>
      </c>
    </row>
    <row r="13" spans="1:19" x14ac:dyDescent="0.35">
      <c r="A13" t="s">
        <v>191</v>
      </c>
      <c r="B13">
        <v>452</v>
      </c>
      <c r="C13" t="s">
        <v>166</v>
      </c>
      <c r="D13">
        <v>2009</v>
      </c>
      <c r="E13" t="s">
        <v>179</v>
      </c>
      <c r="F13">
        <v>1228</v>
      </c>
      <c r="G13" t="s">
        <v>192</v>
      </c>
      <c r="H13">
        <v>13521</v>
      </c>
      <c r="I13" t="s">
        <v>164</v>
      </c>
      <c r="J13">
        <v>433</v>
      </c>
      <c r="K13" t="s">
        <v>168</v>
      </c>
      <c r="L13">
        <v>18.5</v>
      </c>
      <c r="M13" t="s">
        <v>184</v>
      </c>
      <c r="N13">
        <v>406</v>
      </c>
      <c r="O13" t="s">
        <v>162</v>
      </c>
      <c r="P13">
        <v>6.29</v>
      </c>
      <c r="Q13" t="s">
        <v>164</v>
      </c>
      <c r="R13">
        <v>1.0129999999999999</v>
      </c>
      <c r="S13" t="s">
        <v>163</v>
      </c>
    </row>
    <row r="14" spans="1:19" x14ac:dyDescent="0.35">
      <c r="A14" t="s">
        <v>193</v>
      </c>
      <c r="B14">
        <v>514</v>
      </c>
      <c r="C14" t="s">
        <v>162</v>
      </c>
      <c r="D14">
        <v>2120</v>
      </c>
      <c r="E14" t="s">
        <v>166</v>
      </c>
      <c r="F14">
        <v>1222</v>
      </c>
      <c r="G14" t="s">
        <v>194</v>
      </c>
      <c r="H14">
        <v>13873</v>
      </c>
      <c r="I14" t="s">
        <v>164</v>
      </c>
      <c r="J14">
        <v>460</v>
      </c>
      <c r="K14" t="s">
        <v>162</v>
      </c>
      <c r="L14">
        <v>17.7</v>
      </c>
      <c r="M14" t="s">
        <v>195</v>
      </c>
      <c r="N14">
        <v>392</v>
      </c>
      <c r="O14" t="s">
        <v>195</v>
      </c>
      <c r="P14">
        <v>6.43</v>
      </c>
      <c r="Q14" t="s">
        <v>164</v>
      </c>
      <c r="R14">
        <v>0.92800000000000005</v>
      </c>
      <c r="S14" t="s">
        <v>164</v>
      </c>
    </row>
    <row r="15" spans="1:19" x14ac:dyDescent="0.35">
      <c r="A15" t="s">
        <v>196</v>
      </c>
      <c r="B15">
        <v>376</v>
      </c>
      <c r="C15" t="s">
        <v>170</v>
      </c>
      <c r="D15">
        <v>2487</v>
      </c>
      <c r="E15" t="s">
        <v>163</v>
      </c>
      <c r="F15">
        <v>1224</v>
      </c>
      <c r="G15" t="s">
        <v>194</v>
      </c>
      <c r="H15">
        <v>13803</v>
      </c>
      <c r="I15" t="s">
        <v>164</v>
      </c>
      <c r="J15">
        <v>382</v>
      </c>
      <c r="K15" t="s">
        <v>161</v>
      </c>
      <c r="L15">
        <v>31.5</v>
      </c>
      <c r="M15" t="s">
        <v>163</v>
      </c>
      <c r="N15">
        <v>385</v>
      </c>
      <c r="O15" t="s">
        <v>174</v>
      </c>
      <c r="P15">
        <v>6.7</v>
      </c>
      <c r="Q15" t="s">
        <v>163</v>
      </c>
      <c r="R15">
        <v>1.014</v>
      </c>
      <c r="S15" t="s">
        <v>163</v>
      </c>
    </row>
    <row r="16" spans="1:19" x14ac:dyDescent="0.35">
      <c r="A16" t="s">
        <v>197</v>
      </c>
      <c r="B16">
        <v>462</v>
      </c>
      <c r="C16" t="s">
        <v>166</v>
      </c>
      <c r="D16">
        <v>2063</v>
      </c>
      <c r="E16" t="s">
        <v>161</v>
      </c>
      <c r="F16">
        <v>1236</v>
      </c>
      <c r="G16" t="s">
        <v>192</v>
      </c>
      <c r="H16">
        <v>14001</v>
      </c>
      <c r="I16" t="s">
        <v>164</v>
      </c>
      <c r="J16">
        <v>349</v>
      </c>
      <c r="K16" t="s">
        <v>180</v>
      </c>
      <c r="L16">
        <v>16.7</v>
      </c>
      <c r="M16" t="s">
        <v>165</v>
      </c>
      <c r="N16">
        <v>408</v>
      </c>
      <c r="O16" t="s">
        <v>164</v>
      </c>
      <c r="P16">
        <v>6.16</v>
      </c>
      <c r="Q16" t="s">
        <v>184</v>
      </c>
      <c r="R16">
        <v>0.93100000000000005</v>
      </c>
      <c r="S16" t="s">
        <v>164</v>
      </c>
    </row>
    <row r="17" spans="1:19" x14ac:dyDescent="0.35">
      <c r="A17" t="s">
        <v>198</v>
      </c>
      <c r="B17">
        <v>387</v>
      </c>
      <c r="C17" t="s">
        <v>180</v>
      </c>
      <c r="D17">
        <v>2104</v>
      </c>
      <c r="E17" t="s">
        <v>166</v>
      </c>
      <c r="F17">
        <v>1365</v>
      </c>
      <c r="G17" t="s">
        <v>166</v>
      </c>
      <c r="H17">
        <v>14594</v>
      </c>
      <c r="I17" t="s">
        <v>164</v>
      </c>
      <c r="J17">
        <v>388</v>
      </c>
      <c r="K17" t="s">
        <v>161</v>
      </c>
      <c r="L17">
        <v>17.2</v>
      </c>
      <c r="M17" t="s">
        <v>173</v>
      </c>
      <c r="N17">
        <v>387</v>
      </c>
      <c r="O17" t="s">
        <v>199</v>
      </c>
      <c r="P17">
        <v>6.6</v>
      </c>
      <c r="Q17" t="s">
        <v>163</v>
      </c>
      <c r="R17">
        <v>0.94199999999999995</v>
      </c>
      <c r="S17" t="s">
        <v>164</v>
      </c>
    </row>
    <row r="18" spans="1:19" x14ac:dyDescent="0.35">
      <c r="A18" t="s">
        <v>200</v>
      </c>
      <c r="B18">
        <v>567</v>
      </c>
      <c r="C18" t="s">
        <v>163</v>
      </c>
      <c r="D18">
        <v>1992</v>
      </c>
      <c r="E18" t="s">
        <v>179</v>
      </c>
      <c r="F18">
        <v>1260</v>
      </c>
      <c r="G18" t="s">
        <v>192</v>
      </c>
      <c r="H18">
        <v>11530</v>
      </c>
      <c r="I18" t="s">
        <v>184</v>
      </c>
      <c r="J18">
        <v>364</v>
      </c>
      <c r="K18" t="s">
        <v>179</v>
      </c>
      <c r="L18">
        <v>18.2</v>
      </c>
      <c r="M18" t="s">
        <v>161</v>
      </c>
      <c r="N18">
        <v>380</v>
      </c>
      <c r="O18" t="s">
        <v>165</v>
      </c>
      <c r="P18">
        <v>6.65</v>
      </c>
      <c r="Q18" t="s">
        <v>163</v>
      </c>
      <c r="R18">
        <v>0.96099999999999997</v>
      </c>
      <c r="S18" t="s">
        <v>164</v>
      </c>
    </row>
    <row r="19" spans="1:19" x14ac:dyDescent="0.35">
      <c r="A19" t="s">
        <v>201</v>
      </c>
      <c r="B19">
        <v>377</v>
      </c>
      <c r="C19" t="s">
        <v>170</v>
      </c>
      <c r="D19">
        <v>1876</v>
      </c>
      <c r="E19" t="s">
        <v>170</v>
      </c>
      <c r="F19">
        <v>1306</v>
      </c>
      <c r="G19" t="s">
        <v>173</v>
      </c>
      <c r="H19">
        <v>14606</v>
      </c>
      <c r="I19" t="s">
        <v>164</v>
      </c>
      <c r="J19">
        <v>394</v>
      </c>
      <c r="K19" t="s">
        <v>161</v>
      </c>
      <c r="L19">
        <v>17.2</v>
      </c>
      <c r="M19" t="s">
        <v>199</v>
      </c>
      <c r="N19">
        <v>403</v>
      </c>
      <c r="O19" t="s">
        <v>166</v>
      </c>
      <c r="P19">
        <v>6.44</v>
      </c>
      <c r="Q19" t="s">
        <v>164</v>
      </c>
      <c r="R19">
        <v>0.94099999999999995</v>
      </c>
      <c r="S19" t="s">
        <v>164</v>
      </c>
    </row>
    <row r="20" spans="1:19" x14ac:dyDescent="0.35">
      <c r="A20" t="s">
        <v>202</v>
      </c>
      <c r="B20">
        <v>439</v>
      </c>
      <c r="C20" t="s">
        <v>161</v>
      </c>
      <c r="D20">
        <v>1953</v>
      </c>
      <c r="E20" t="s">
        <v>180</v>
      </c>
      <c r="F20">
        <v>1345</v>
      </c>
      <c r="G20" t="s">
        <v>195</v>
      </c>
      <c r="H20">
        <v>15450</v>
      </c>
      <c r="I20" t="s">
        <v>163</v>
      </c>
      <c r="J20">
        <v>373</v>
      </c>
      <c r="K20" t="s">
        <v>179</v>
      </c>
      <c r="L20">
        <v>18.3</v>
      </c>
      <c r="M20" t="s">
        <v>203</v>
      </c>
      <c r="N20">
        <v>401</v>
      </c>
      <c r="O20" t="s">
        <v>166</v>
      </c>
      <c r="P20">
        <v>6.36</v>
      </c>
      <c r="Q20" t="s">
        <v>164</v>
      </c>
      <c r="R20">
        <v>0.872</v>
      </c>
      <c r="S20" t="s">
        <v>184</v>
      </c>
    </row>
    <row r="21" spans="1:19" x14ac:dyDescent="0.35">
      <c r="A21" t="s">
        <v>113</v>
      </c>
      <c r="B21">
        <v>454</v>
      </c>
      <c r="C21" t="s">
        <v>166</v>
      </c>
      <c r="D21">
        <v>2175</v>
      </c>
      <c r="E21" t="s">
        <v>166</v>
      </c>
      <c r="F21">
        <v>1186</v>
      </c>
      <c r="G21" t="s">
        <v>194</v>
      </c>
      <c r="H21">
        <v>11815</v>
      </c>
      <c r="I21" t="s">
        <v>184</v>
      </c>
      <c r="J21">
        <v>400</v>
      </c>
      <c r="K21" t="s">
        <v>161</v>
      </c>
      <c r="L21">
        <v>18.100000000000001</v>
      </c>
      <c r="M21" t="s">
        <v>161</v>
      </c>
      <c r="N21">
        <v>404</v>
      </c>
      <c r="O21" t="s">
        <v>168</v>
      </c>
      <c r="P21">
        <v>6.4</v>
      </c>
      <c r="Q21" t="s">
        <v>164</v>
      </c>
      <c r="R21">
        <v>0.94399999999999995</v>
      </c>
      <c r="S21" t="s">
        <v>164</v>
      </c>
    </row>
  </sheetData>
  <sortState xmlns:xlrd2="http://schemas.microsoft.com/office/spreadsheetml/2017/richdata2" ref="A2:S21">
    <sortCondition ref="A2:A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BB02-2597-4EAE-A524-072CAFFB79A0}">
  <dimension ref="A2:Q62"/>
  <sheetViews>
    <sheetView workbookViewId="0">
      <selection activeCell="Q52" sqref="Q52"/>
    </sheetView>
  </sheetViews>
  <sheetFormatPr defaultRowHeight="14.5" x14ac:dyDescent="0.35"/>
  <sheetData>
    <row r="2" spans="1:17" x14ac:dyDescent="0.35">
      <c r="A2" t="s">
        <v>204</v>
      </c>
      <c r="B2" t="s">
        <v>205</v>
      </c>
      <c r="C2">
        <v>0.41899999999999998</v>
      </c>
      <c r="D2">
        <v>2.3800000000000002E-2</v>
      </c>
      <c r="E2">
        <v>214</v>
      </c>
      <c r="F2">
        <v>17.600000000000001</v>
      </c>
      <c r="G2" t="s">
        <v>206</v>
      </c>
      <c r="H2">
        <f>C2-$H$61</f>
        <v>0.39002058920887123</v>
      </c>
      <c r="J2" t="s">
        <v>207</v>
      </c>
      <c r="K2" t="s">
        <v>205</v>
      </c>
      <c r="L2">
        <v>0.39429999999999998</v>
      </c>
      <c r="M2">
        <v>2.3800000000000002E-2</v>
      </c>
      <c r="N2">
        <v>214</v>
      </c>
      <c r="O2">
        <v>16.57</v>
      </c>
      <c r="P2" t="s">
        <v>206</v>
      </c>
      <c r="Q2">
        <f>L2+$H$61</f>
        <v>0.42327941079112874</v>
      </c>
    </row>
    <row r="3" spans="1:17" x14ac:dyDescent="0.35">
      <c r="A3" t="s">
        <v>204</v>
      </c>
      <c r="B3" t="s">
        <v>208</v>
      </c>
      <c r="C3">
        <v>0.38769999999999999</v>
      </c>
      <c r="D3">
        <v>2.3800000000000002E-2</v>
      </c>
      <c r="E3">
        <v>214</v>
      </c>
      <c r="F3">
        <v>16.29</v>
      </c>
      <c r="G3" t="s">
        <v>206</v>
      </c>
      <c r="H3">
        <f t="shared" ref="H3:H58" si="0">C3-$H$61</f>
        <v>0.35872058920887123</v>
      </c>
      <c r="J3" t="s">
        <v>207</v>
      </c>
      <c r="K3" t="s">
        <v>208</v>
      </c>
      <c r="L3">
        <v>0.37669999999999998</v>
      </c>
      <c r="M3">
        <v>2.3800000000000002E-2</v>
      </c>
      <c r="N3">
        <v>214</v>
      </c>
      <c r="O3">
        <v>15.82</v>
      </c>
      <c r="P3" t="s">
        <v>206</v>
      </c>
      <c r="Q3">
        <f t="shared" ref="Q3:Q54" si="1">L3+$H$61</f>
        <v>0.40567941079112874</v>
      </c>
    </row>
    <row r="4" spans="1:17" x14ac:dyDescent="0.35">
      <c r="A4" t="s">
        <v>204</v>
      </c>
      <c r="B4" t="s">
        <v>209</v>
      </c>
      <c r="C4">
        <v>0.4037</v>
      </c>
      <c r="D4">
        <v>2.3800000000000002E-2</v>
      </c>
      <c r="E4">
        <v>214</v>
      </c>
      <c r="F4">
        <v>16.96</v>
      </c>
      <c r="G4" t="s">
        <v>206</v>
      </c>
      <c r="H4">
        <f t="shared" si="0"/>
        <v>0.37472058920887125</v>
      </c>
      <c r="J4" t="s">
        <v>207</v>
      </c>
      <c r="K4" t="s">
        <v>210</v>
      </c>
      <c r="L4">
        <v>0.3553</v>
      </c>
      <c r="M4">
        <v>2.3800000000000002E-2</v>
      </c>
      <c r="N4">
        <v>214</v>
      </c>
      <c r="O4">
        <v>14.93</v>
      </c>
      <c r="P4" t="s">
        <v>206</v>
      </c>
      <c r="Q4">
        <f t="shared" si="1"/>
        <v>0.38427941079112876</v>
      </c>
    </row>
    <row r="5" spans="1:17" x14ac:dyDescent="0.35">
      <c r="A5" t="s">
        <v>204</v>
      </c>
      <c r="B5" t="s">
        <v>211</v>
      </c>
      <c r="C5">
        <v>0.43530000000000002</v>
      </c>
      <c r="D5">
        <v>2.3800000000000002E-2</v>
      </c>
      <c r="E5">
        <v>214</v>
      </c>
      <c r="F5">
        <v>18.29</v>
      </c>
      <c r="G5" t="s">
        <v>206</v>
      </c>
      <c r="H5">
        <f t="shared" si="0"/>
        <v>0.40632058920887126</v>
      </c>
      <c r="J5" t="s">
        <v>207</v>
      </c>
      <c r="K5" t="s">
        <v>212</v>
      </c>
      <c r="L5">
        <v>0.3483</v>
      </c>
      <c r="M5">
        <v>2.3800000000000002E-2</v>
      </c>
      <c r="N5">
        <v>214</v>
      </c>
      <c r="O5">
        <v>14.63</v>
      </c>
      <c r="P5" t="s">
        <v>206</v>
      </c>
      <c r="Q5">
        <f t="shared" si="1"/>
        <v>0.37727941079112876</v>
      </c>
    </row>
    <row r="6" spans="1:17" x14ac:dyDescent="0.35">
      <c r="A6" t="s">
        <v>204</v>
      </c>
      <c r="B6" t="s">
        <v>210</v>
      </c>
      <c r="C6">
        <v>0.40400000000000003</v>
      </c>
      <c r="D6">
        <v>2.3800000000000002E-2</v>
      </c>
      <c r="E6">
        <v>214</v>
      </c>
      <c r="F6">
        <v>16.97</v>
      </c>
      <c r="G6" t="s">
        <v>206</v>
      </c>
      <c r="H6">
        <f t="shared" si="0"/>
        <v>0.37502058920887127</v>
      </c>
      <c r="J6" t="s">
        <v>207</v>
      </c>
      <c r="K6" t="s">
        <v>213</v>
      </c>
      <c r="L6">
        <v>0.3357</v>
      </c>
      <c r="M6">
        <v>2.3800000000000002E-2</v>
      </c>
      <c r="N6">
        <v>214</v>
      </c>
      <c r="O6">
        <v>14.1</v>
      </c>
      <c r="P6" t="s">
        <v>206</v>
      </c>
      <c r="Q6">
        <f t="shared" si="1"/>
        <v>0.36467941079112876</v>
      </c>
    </row>
    <row r="7" spans="1:17" x14ac:dyDescent="0.35">
      <c r="A7" t="s">
        <v>204</v>
      </c>
      <c r="B7" t="s">
        <v>212</v>
      </c>
      <c r="C7">
        <v>0.35830000000000001</v>
      </c>
      <c r="D7">
        <v>2.3800000000000002E-2</v>
      </c>
      <c r="E7">
        <v>214</v>
      </c>
      <c r="F7">
        <v>15.05</v>
      </c>
      <c r="G7" t="s">
        <v>206</v>
      </c>
      <c r="H7">
        <f t="shared" si="0"/>
        <v>0.32932058920887125</v>
      </c>
      <c r="J7" t="s">
        <v>207</v>
      </c>
      <c r="K7" t="s">
        <v>214</v>
      </c>
      <c r="L7">
        <v>0.35399999999999998</v>
      </c>
      <c r="M7">
        <v>2.3800000000000002E-2</v>
      </c>
      <c r="N7">
        <v>214</v>
      </c>
      <c r="O7">
        <v>14.87</v>
      </c>
      <c r="P7" t="s">
        <v>206</v>
      </c>
      <c r="Q7">
        <f t="shared" si="1"/>
        <v>0.38297941079112874</v>
      </c>
    </row>
    <row r="8" spans="1:17" x14ac:dyDescent="0.35">
      <c r="A8" t="s">
        <v>204</v>
      </c>
      <c r="B8" t="s">
        <v>215</v>
      </c>
      <c r="C8">
        <v>0.40870000000000001</v>
      </c>
      <c r="D8">
        <v>2.3800000000000002E-2</v>
      </c>
      <c r="E8">
        <v>214</v>
      </c>
      <c r="F8">
        <v>17.170000000000002</v>
      </c>
      <c r="G8" t="s">
        <v>206</v>
      </c>
      <c r="H8">
        <f t="shared" si="0"/>
        <v>0.37972058920887125</v>
      </c>
      <c r="J8" t="s">
        <v>207</v>
      </c>
      <c r="K8" t="s">
        <v>68</v>
      </c>
      <c r="L8">
        <v>0.33029999999999998</v>
      </c>
      <c r="M8">
        <v>2.3800000000000002E-2</v>
      </c>
      <c r="N8">
        <v>214</v>
      </c>
      <c r="O8">
        <v>13.88</v>
      </c>
      <c r="P8" t="s">
        <v>206</v>
      </c>
      <c r="Q8">
        <f t="shared" si="1"/>
        <v>0.35927941079112874</v>
      </c>
    </row>
    <row r="9" spans="1:17" x14ac:dyDescent="0.35">
      <c r="A9" t="s">
        <v>204</v>
      </c>
      <c r="B9" t="s">
        <v>216</v>
      </c>
      <c r="C9">
        <v>0.40400000000000003</v>
      </c>
      <c r="D9">
        <v>2.3800000000000002E-2</v>
      </c>
      <c r="E9">
        <v>214</v>
      </c>
      <c r="F9">
        <v>16.97</v>
      </c>
      <c r="G9" t="s">
        <v>206</v>
      </c>
      <c r="H9">
        <f t="shared" si="0"/>
        <v>0.37502058920887127</v>
      </c>
      <c r="J9" t="s">
        <v>207</v>
      </c>
      <c r="K9" t="s">
        <v>217</v>
      </c>
      <c r="L9">
        <v>0.33100000000000002</v>
      </c>
      <c r="M9">
        <v>2.3800000000000002E-2</v>
      </c>
      <c r="N9">
        <v>214</v>
      </c>
      <c r="O9">
        <v>13.91</v>
      </c>
      <c r="P9" t="s">
        <v>206</v>
      </c>
      <c r="Q9">
        <f t="shared" si="1"/>
        <v>0.35997941079112877</v>
      </c>
    </row>
    <row r="10" spans="1:17" x14ac:dyDescent="0.35">
      <c r="A10" t="s">
        <v>204</v>
      </c>
      <c r="B10" t="s">
        <v>214</v>
      </c>
      <c r="C10">
        <v>0.39800000000000002</v>
      </c>
      <c r="D10">
        <v>2.3800000000000002E-2</v>
      </c>
      <c r="E10">
        <v>214</v>
      </c>
      <c r="F10">
        <v>16.72</v>
      </c>
      <c r="G10" t="s">
        <v>206</v>
      </c>
      <c r="H10">
        <f t="shared" si="0"/>
        <v>0.36902058920887126</v>
      </c>
      <c r="J10" t="s">
        <v>207</v>
      </c>
      <c r="K10" t="s">
        <v>70</v>
      </c>
      <c r="L10">
        <v>0.34699999999999998</v>
      </c>
      <c r="M10">
        <v>2.3800000000000002E-2</v>
      </c>
      <c r="N10">
        <v>214</v>
      </c>
      <c r="O10">
        <v>14.58</v>
      </c>
      <c r="P10" t="s">
        <v>206</v>
      </c>
      <c r="Q10">
        <f t="shared" si="1"/>
        <v>0.37597941079112873</v>
      </c>
    </row>
    <row r="11" spans="1:17" x14ac:dyDescent="0.35">
      <c r="A11" t="s">
        <v>204</v>
      </c>
      <c r="B11" t="s">
        <v>68</v>
      </c>
      <c r="C11">
        <v>0.42970000000000003</v>
      </c>
      <c r="D11">
        <v>2.3800000000000002E-2</v>
      </c>
      <c r="E11">
        <v>214</v>
      </c>
      <c r="F11">
        <v>18.05</v>
      </c>
      <c r="G11" t="s">
        <v>206</v>
      </c>
      <c r="H11">
        <f t="shared" si="0"/>
        <v>0.40072058920887127</v>
      </c>
      <c r="J11" t="s">
        <v>207</v>
      </c>
      <c r="K11" t="s">
        <v>71</v>
      </c>
      <c r="L11">
        <v>0.31940000000000002</v>
      </c>
      <c r="M11">
        <v>2.8649999999999998E-2</v>
      </c>
      <c r="N11">
        <v>214</v>
      </c>
      <c r="O11">
        <v>11.15</v>
      </c>
      <c r="P11" t="s">
        <v>206</v>
      </c>
      <c r="Q11">
        <f t="shared" si="1"/>
        <v>0.34837941079112877</v>
      </c>
    </row>
    <row r="12" spans="1:17" x14ac:dyDescent="0.35">
      <c r="A12" t="s">
        <v>204</v>
      </c>
      <c r="B12" t="s">
        <v>72</v>
      </c>
      <c r="C12">
        <v>0.35930000000000001</v>
      </c>
      <c r="D12">
        <v>2.3800000000000002E-2</v>
      </c>
      <c r="E12">
        <v>214</v>
      </c>
      <c r="F12">
        <v>15.1</v>
      </c>
      <c r="G12" t="s">
        <v>206</v>
      </c>
      <c r="H12">
        <f t="shared" si="0"/>
        <v>0.33032058920887125</v>
      </c>
      <c r="J12" t="s">
        <v>207</v>
      </c>
      <c r="K12" t="s">
        <v>72</v>
      </c>
      <c r="L12">
        <v>0.34129999999999999</v>
      </c>
      <c r="M12">
        <v>2.3800000000000002E-2</v>
      </c>
      <c r="N12">
        <v>214</v>
      </c>
      <c r="O12">
        <v>14.34</v>
      </c>
      <c r="P12" t="s">
        <v>206</v>
      </c>
      <c r="Q12">
        <f t="shared" si="1"/>
        <v>0.37027941079112875</v>
      </c>
    </row>
    <row r="13" spans="1:17" x14ac:dyDescent="0.35">
      <c r="A13" t="s">
        <v>204</v>
      </c>
      <c r="B13" t="s">
        <v>73</v>
      </c>
      <c r="C13">
        <v>0.39850000000000002</v>
      </c>
      <c r="D13">
        <v>2.8639999999999999E-2</v>
      </c>
      <c r="E13">
        <v>214</v>
      </c>
      <c r="F13">
        <v>13.91</v>
      </c>
      <c r="G13" t="s">
        <v>206</v>
      </c>
      <c r="H13">
        <f t="shared" si="0"/>
        <v>0.36952058920887126</v>
      </c>
      <c r="J13" t="s">
        <v>207</v>
      </c>
      <c r="K13" t="s">
        <v>74</v>
      </c>
      <c r="L13">
        <v>0.32529999999999998</v>
      </c>
      <c r="M13">
        <v>2.3800000000000002E-2</v>
      </c>
      <c r="N13">
        <v>214</v>
      </c>
      <c r="O13">
        <v>13.67</v>
      </c>
      <c r="P13" t="s">
        <v>206</v>
      </c>
      <c r="Q13">
        <f t="shared" si="1"/>
        <v>0.35427941079112873</v>
      </c>
    </row>
    <row r="14" spans="1:17" x14ac:dyDescent="0.35">
      <c r="A14" t="s">
        <v>204</v>
      </c>
      <c r="B14" t="s">
        <v>74</v>
      </c>
      <c r="C14">
        <v>0.41970000000000002</v>
      </c>
      <c r="D14">
        <v>2.3800000000000002E-2</v>
      </c>
      <c r="E14">
        <v>214</v>
      </c>
      <c r="F14">
        <v>17.63</v>
      </c>
      <c r="G14" t="s">
        <v>206</v>
      </c>
      <c r="H14">
        <f t="shared" si="0"/>
        <v>0.39072058920887126</v>
      </c>
      <c r="J14" t="s">
        <v>207</v>
      </c>
      <c r="K14" t="s">
        <v>218</v>
      </c>
      <c r="L14">
        <v>0.31669999999999998</v>
      </c>
      <c r="M14">
        <v>2.3800000000000002E-2</v>
      </c>
      <c r="N14">
        <v>214</v>
      </c>
      <c r="O14">
        <v>13.3</v>
      </c>
      <c r="P14" t="s">
        <v>206</v>
      </c>
      <c r="Q14">
        <f t="shared" si="1"/>
        <v>0.34567941079112874</v>
      </c>
    </row>
    <row r="15" spans="1:17" x14ac:dyDescent="0.35">
      <c r="A15" t="s">
        <v>204</v>
      </c>
      <c r="B15" t="s">
        <v>219</v>
      </c>
      <c r="C15">
        <v>0.43669999999999998</v>
      </c>
      <c r="D15">
        <v>2.3800000000000002E-2</v>
      </c>
      <c r="E15">
        <v>214</v>
      </c>
      <c r="F15">
        <v>18.34</v>
      </c>
      <c r="G15" t="s">
        <v>206</v>
      </c>
      <c r="H15">
        <f t="shared" si="0"/>
        <v>0.40772058920887122</v>
      </c>
      <c r="J15" t="s">
        <v>207</v>
      </c>
      <c r="K15" t="s">
        <v>220</v>
      </c>
      <c r="L15">
        <v>0.3493</v>
      </c>
      <c r="M15">
        <v>2.3800000000000002E-2</v>
      </c>
      <c r="N15">
        <v>214</v>
      </c>
      <c r="O15">
        <v>14.68</v>
      </c>
      <c r="P15" t="s">
        <v>206</v>
      </c>
      <c r="Q15">
        <f t="shared" si="1"/>
        <v>0.37827941079112876</v>
      </c>
    </row>
    <row r="16" spans="1:17" x14ac:dyDescent="0.35">
      <c r="A16" t="s">
        <v>204</v>
      </c>
      <c r="B16" t="s">
        <v>221</v>
      </c>
      <c r="C16">
        <v>0.44230000000000003</v>
      </c>
      <c r="D16">
        <v>2.3800000000000002E-2</v>
      </c>
      <c r="E16">
        <v>214</v>
      </c>
      <c r="F16">
        <v>18.579999999999998</v>
      </c>
      <c r="G16" t="s">
        <v>206</v>
      </c>
      <c r="H16">
        <f t="shared" si="0"/>
        <v>0.41332058920887127</v>
      </c>
      <c r="J16" t="s">
        <v>207</v>
      </c>
      <c r="K16" t="s">
        <v>222</v>
      </c>
      <c r="L16">
        <v>0.3387</v>
      </c>
      <c r="M16">
        <v>2.3800000000000002E-2</v>
      </c>
      <c r="N16">
        <v>214</v>
      </c>
      <c r="O16">
        <v>14.23</v>
      </c>
      <c r="P16" t="s">
        <v>206</v>
      </c>
      <c r="Q16">
        <f t="shared" si="1"/>
        <v>0.36767941079112876</v>
      </c>
    </row>
    <row r="17" spans="1:17" x14ac:dyDescent="0.35">
      <c r="A17" t="s">
        <v>204</v>
      </c>
      <c r="B17" t="s">
        <v>223</v>
      </c>
      <c r="C17">
        <v>0.433</v>
      </c>
      <c r="D17">
        <v>2.3800000000000002E-2</v>
      </c>
      <c r="E17">
        <v>214</v>
      </c>
      <c r="F17">
        <v>18.190000000000001</v>
      </c>
      <c r="G17" t="s">
        <v>206</v>
      </c>
      <c r="H17">
        <f t="shared" si="0"/>
        <v>0.40402058920887124</v>
      </c>
      <c r="J17" t="s">
        <v>207</v>
      </c>
      <c r="K17" t="s">
        <v>224</v>
      </c>
      <c r="L17">
        <v>0.3957</v>
      </c>
      <c r="M17">
        <v>2.3800000000000002E-2</v>
      </c>
      <c r="N17">
        <v>214</v>
      </c>
      <c r="O17">
        <v>16.62</v>
      </c>
      <c r="P17" t="s">
        <v>206</v>
      </c>
      <c r="Q17">
        <f t="shared" si="1"/>
        <v>0.42467941079112875</v>
      </c>
    </row>
    <row r="18" spans="1:17" x14ac:dyDescent="0.35">
      <c r="A18" t="s">
        <v>204</v>
      </c>
      <c r="B18" t="s">
        <v>218</v>
      </c>
      <c r="C18">
        <v>0.38329999999999997</v>
      </c>
      <c r="D18">
        <v>2.3800000000000002E-2</v>
      </c>
      <c r="E18">
        <v>214</v>
      </c>
      <c r="F18">
        <v>16.100000000000001</v>
      </c>
      <c r="G18" t="s">
        <v>206</v>
      </c>
      <c r="H18">
        <f t="shared" si="0"/>
        <v>0.35432058920887122</v>
      </c>
      <c r="J18" t="s">
        <v>207</v>
      </c>
      <c r="K18" t="s">
        <v>225</v>
      </c>
      <c r="L18">
        <v>0.36699999999999999</v>
      </c>
      <c r="M18">
        <v>2.3800000000000002E-2</v>
      </c>
      <c r="N18">
        <v>214</v>
      </c>
      <c r="O18">
        <v>15.42</v>
      </c>
      <c r="P18" t="s">
        <v>206</v>
      </c>
      <c r="Q18">
        <f t="shared" si="1"/>
        <v>0.39597941079112875</v>
      </c>
    </row>
    <row r="19" spans="1:17" x14ac:dyDescent="0.35">
      <c r="A19" t="s">
        <v>204</v>
      </c>
      <c r="B19" t="s">
        <v>220</v>
      </c>
      <c r="C19">
        <v>0.37269999999999998</v>
      </c>
      <c r="D19">
        <v>2.3800000000000002E-2</v>
      </c>
      <c r="E19">
        <v>214</v>
      </c>
      <c r="F19">
        <v>15.66</v>
      </c>
      <c r="G19" t="s">
        <v>206</v>
      </c>
      <c r="H19">
        <f t="shared" si="0"/>
        <v>0.34372058920887122</v>
      </c>
      <c r="J19" t="s">
        <v>207</v>
      </c>
      <c r="K19" t="s">
        <v>226</v>
      </c>
      <c r="L19">
        <v>0.28100000000000003</v>
      </c>
      <c r="M19">
        <v>2.3800000000000002E-2</v>
      </c>
      <c r="N19">
        <v>214</v>
      </c>
      <c r="O19">
        <v>11.8</v>
      </c>
      <c r="P19" t="s">
        <v>206</v>
      </c>
      <c r="Q19">
        <f t="shared" si="1"/>
        <v>0.30997941079112878</v>
      </c>
    </row>
    <row r="20" spans="1:17" x14ac:dyDescent="0.35">
      <c r="A20" t="s">
        <v>204</v>
      </c>
      <c r="B20" t="s">
        <v>222</v>
      </c>
      <c r="C20">
        <v>0.46899999999999997</v>
      </c>
      <c r="D20">
        <v>2.3800000000000002E-2</v>
      </c>
      <c r="E20">
        <v>214</v>
      </c>
      <c r="F20">
        <v>19.7</v>
      </c>
      <c r="G20" t="s">
        <v>206</v>
      </c>
      <c r="H20">
        <f t="shared" si="0"/>
        <v>0.44002058920887122</v>
      </c>
      <c r="J20" t="s">
        <v>207</v>
      </c>
      <c r="K20" t="s">
        <v>227</v>
      </c>
      <c r="L20">
        <v>0.36330000000000001</v>
      </c>
      <c r="M20">
        <v>2.3800000000000002E-2</v>
      </c>
      <c r="N20">
        <v>214</v>
      </c>
      <c r="O20">
        <v>15.26</v>
      </c>
      <c r="P20" t="s">
        <v>206</v>
      </c>
      <c r="Q20">
        <f t="shared" si="1"/>
        <v>0.39227941079112877</v>
      </c>
    </row>
    <row r="21" spans="1:17" x14ac:dyDescent="0.35">
      <c r="A21" t="s">
        <v>204</v>
      </c>
      <c r="B21" t="s">
        <v>228</v>
      </c>
      <c r="C21">
        <v>0.41670000000000001</v>
      </c>
      <c r="D21">
        <v>2.3800000000000002E-2</v>
      </c>
      <c r="E21">
        <v>214</v>
      </c>
      <c r="F21">
        <v>17.5</v>
      </c>
      <c r="G21" t="s">
        <v>206</v>
      </c>
      <c r="H21">
        <f t="shared" si="0"/>
        <v>0.38772058920887126</v>
      </c>
      <c r="J21" t="s">
        <v>207</v>
      </c>
      <c r="K21" t="s">
        <v>229</v>
      </c>
      <c r="L21">
        <v>0.38200000000000001</v>
      </c>
      <c r="M21">
        <v>2.3800000000000002E-2</v>
      </c>
      <c r="N21">
        <v>214</v>
      </c>
      <c r="O21">
        <v>16.05</v>
      </c>
      <c r="P21" t="s">
        <v>206</v>
      </c>
      <c r="Q21">
        <f t="shared" si="1"/>
        <v>0.41097941079112876</v>
      </c>
    </row>
    <row r="22" spans="1:17" x14ac:dyDescent="0.35">
      <c r="A22" t="s">
        <v>204</v>
      </c>
      <c r="B22" t="s">
        <v>224</v>
      </c>
      <c r="C22">
        <v>0.4627</v>
      </c>
      <c r="D22">
        <v>2.3800000000000002E-2</v>
      </c>
      <c r="E22">
        <v>214</v>
      </c>
      <c r="F22">
        <v>19.440000000000001</v>
      </c>
      <c r="G22" t="s">
        <v>206</v>
      </c>
      <c r="H22">
        <f t="shared" si="0"/>
        <v>0.43372058920887124</v>
      </c>
      <c r="J22" t="s">
        <v>207</v>
      </c>
      <c r="K22" t="s">
        <v>230</v>
      </c>
      <c r="L22">
        <v>0.32169999999999999</v>
      </c>
      <c r="M22">
        <v>2.3800000000000002E-2</v>
      </c>
      <c r="N22">
        <v>214</v>
      </c>
      <c r="O22">
        <v>13.51</v>
      </c>
      <c r="P22" t="s">
        <v>206</v>
      </c>
      <c r="Q22">
        <f t="shared" si="1"/>
        <v>0.35067941079112874</v>
      </c>
    </row>
    <row r="23" spans="1:17" x14ac:dyDescent="0.35">
      <c r="A23" t="s">
        <v>204</v>
      </c>
      <c r="B23" t="s">
        <v>227</v>
      </c>
      <c r="C23">
        <v>0.40870000000000001</v>
      </c>
      <c r="D23">
        <v>2.3800000000000002E-2</v>
      </c>
      <c r="E23">
        <v>214</v>
      </c>
      <c r="F23">
        <v>17.170000000000002</v>
      </c>
      <c r="G23" t="s">
        <v>206</v>
      </c>
      <c r="H23">
        <f t="shared" si="0"/>
        <v>0.37972058920887125</v>
      </c>
      <c r="J23" t="s">
        <v>207</v>
      </c>
      <c r="K23" t="s">
        <v>231</v>
      </c>
      <c r="L23">
        <v>0.31069999999999998</v>
      </c>
      <c r="M23">
        <v>2.3800000000000002E-2</v>
      </c>
      <c r="N23">
        <v>214</v>
      </c>
      <c r="O23">
        <v>13.05</v>
      </c>
      <c r="P23" t="s">
        <v>206</v>
      </c>
      <c r="Q23">
        <f t="shared" si="1"/>
        <v>0.33967941079112873</v>
      </c>
    </row>
    <row r="24" spans="1:17" x14ac:dyDescent="0.35">
      <c r="A24" t="s">
        <v>204</v>
      </c>
      <c r="B24" t="s">
        <v>229</v>
      </c>
      <c r="C24">
        <v>0.37569999999999998</v>
      </c>
      <c r="D24">
        <v>2.3800000000000002E-2</v>
      </c>
      <c r="E24">
        <v>214</v>
      </c>
      <c r="F24">
        <v>15.78</v>
      </c>
      <c r="G24" t="s">
        <v>206</v>
      </c>
      <c r="H24">
        <f t="shared" si="0"/>
        <v>0.34672058920887122</v>
      </c>
      <c r="J24" t="s">
        <v>207</v>
      </c>
      <c r="K24" t="s">
        <v>232</v>
      </c>
      <c r="L24">
        <v>0.41370000000000001</v>
      </c>
      <c r="M24">
        <v>2.3800000000000002E-2</v>
      </c>
      <c r="N24">
        <v>214</v>
      </c>
      <c r="O24">
        <v>17.38</v>
      </c>
      <c r="P24" t="s">
        <v>206</v>
      </c>
      <c r="Q24">
        <f t="shared" si="1"/>
        <v>0.44267941079112877</v>
      </c>
    </row>
    <row r="25" spans="1:17" x14ac:dyDescent="0.35">
      <c r="A25" t="s">
        <v>204</v>
      </c>
      <c r="B25" t="s">
        <v>231</v>
      </c>
      <c r="C25">
        <v>0.4083</v>
      </c>
      <c r="D25">
        <v>2.3800000000000002E-2</v>
      </c>
      <c r="E25">
        <v>214</v>
      </c>
      <c r="F25">
        <v>17.149999999999999</v>
      </c>
      <c r="G25" t="s">
        <v>206</v>
      </c>
      <c r="H25">
        <f t="shared" si="0"/>
        <v>0.37932058920887124</v>
      </c>
      <c r="J25" t="s">
        <v>207</v>
      </c>
      <c r="K25" t="s">
        <v>84</v>
      </c>
      <c r="L25">
        <v>0.39369999999999999</v>
      </c>
      <c r="M25">
        <v>2.3800000000000002E-2</v>
      </c>
      <c r="N25">
        <v>214</v>
      </c>
      <c r="O25">
        <v>16.54</v>
      </c>
      <c r="P25" t="s">
        <v>206</v>
      </c>
      <c r="Q25">
        <f t="shared" si="1"/>
        <v>0.42267941079112875</v>
      </c>
    </row>
    <row r="26" spans="1:17" x14ac:dyDescent="0.35">
      <c r="A26" t="s">
        <v>204</v>
      </c>
      <c r="B26" t="s">
        <v>84</v>
      </c>
      <c r="C26">
        <v>0.437</v>
      </c>
      <c r="D26">
        <v>2.3800000000000002E-2</v>
      </c>
      <c r="E26">
        <v>214</v>
      </c>
      <c r="F26">
        <v>18.36</v>
      </c>
      <c r="G26" t="s">
        <v>206</v>
      </c>
      <c r="H26">
        <f t="shared" si="0"/>
        <v>0.40802058920887124</v>
      </c>
      <c r="J26" t="s">
        <v>207</v>
      </c>
      <c r="K26" t="s">
        <v>233</v>
      </c>
      <c r="L26">
        <v>0.2303</v>
      </c>
      <c r="M26">
        <v>2.3800000000000002E-2</v>
      </c>
      <c r="N26">
        <v>214</v>
      </c>
      <c r="O26">
        <v>9.68</v>
      </c>
      <c r="P26" t="s">
        <v>206</v>
      </c>
      <c r="Q26">
        <f t="shared" si="1"/>
        <v>0.25927941079112876</v>
      </c>
    </row>
    <row r="27" spans="1:17" x14ac:dyDescent="0.35">
      <c r="A27" t="s">
        <v>204</v>
      </c>
      <c r="B27" t="s">
        <v>234</v>
      </c>
      <c r="C27">
        <v>0.41899999999999998</v>
      </c>
      <c r="D27">
        <v>2.3800000000000002E-2</v>
      </c>
      <c r="E27">
        <v>214</v>
      </c>
      <c r="F27">
        <v>17.600000000000001</v>
      </c>
      <c r="G27" t="s">
        <v>206</v>
      </c>
      <c r="H27">
        <f t="shared" si="0"/>
        <v>0.39002058920887123</v>
      </c>
      <c r="J27" t="s">
        <v>207</v>
      </c>
      <c r="K27" t="s">
        <v>234</v>
      </c>
      <c r="L27">
        <v>0.33169999999999999</v>
      </c>
      <c r="M27">
        <v>2.3800000000000002E-2</v>
      </c>
      <c r="N27">
        <v>214</v>
      </c>
      <c r="O27">
        <v>13.93</v>
      </c>
      <c r="P27" t="s">
        <v>206</v>
      </c>
      <c r="Q27">
        <f t="shared" si="1"/>
        <v>0.36067941079112875</v>
      </c>
    </row>
    <row r="28" spans="1:17" x14ac:dyDescent="0.35">
      <c r="A28" t="s">
        <v>204</v>
      </c>
      <c r="B28" t="s">
        <v>235</v>
      </c>
      <c r="C28">
        <v>0.39800000000000002</v>
      </c>
      <c r="D28">
        <v>2.3800000000000002E-2</v>
      </c>
      <c r="E28">
        <v>214</v>
      </c>
      <c r="F28">
        <v>16.72</v>
      </c>
      <c r="G28" t="s">
        <v>206</v>
      </c>
      <c r="H28">
        <f t="shared" si="0"/>
        <v>0.36902058920887126</v>
      </c>
      <c r="J28" t="s">
        <v>207</v>
      </c>
      <c r="K28" t="s">
        <v>235</v>
      </c>
      <c r="L28">
        <v>0.32569999999999999</v>
      </c>
      <c r="M28">
        <v>2.3800000000000002E-2</v>
      </c>
      <c r="N28">
        <v>214</v>
      </c>
      <c r="O28">
        <v>13.68</v>
      </c>
      <c r="P28" t="s">
        <v>206</v>
      </c>
      <c r="Q28">
        <f t="shared" si="1"/>
        <v>0.35467941079112875</v>
      </c>
    </row>
    <row r="29" spans="1:17" x14ac:dyDescent="0.35">
      <c r="A29" t="s">
        <v>204</v>
      </c>
      <c r="B29" t="s">
        <v>236</v>
      </c>
      <c r="C29">
        <v>0.43530000000000002</v>
      </c>
      <c r="D29">
        <v>2.3800000000000002E-2</v>
      </c>
      <c r="E29">
        <v>214</v>
      </c>
      <c r="F29">
        <v>18.29</v>
      </c>
      <c r="G29" t="s">
        <v>206</v>
      </c>
      <c r="H29">
        <f t="shared" si="0"/>
        <v>0.40632058920887126</v>
      </c>
      <c r="J29" t="s">
        <v>207</v>
      </c>
      <c r="K29" t="s">
        <v>236</v>
      </c>
      <c r="L29">
        <v>0.38829999999999998</v>
      </c>
      <c r="M29">
        <v>2.3800000000000002E-2</v>
      </c>
      <c r="N29">
        <v>214</v>
      </c>
      <c r="O29">
        <v>16.309999999999999</v>
      </c>
      <c r="P29" t="s">
        <v>206</v>
      </c>
      <c r="Q29">
        <f t="shared" si="1"/>
        <v>0.41727941079112874</v>
      </c>
    </row>
    <row r="30" spans="1:17" x14ac:dyDescent="0.35">
      <c r="A30" t="s">
        <v>204</v>
      </c>
      <c r="B30" t="s">
        <v>86</v>
      </c>
      <c r="C30">
        <v>0.41439999999999999</v>
      </c>
      <c r="D30">
        <v>2.8649999999999998E-2</v>
      </c>
      <c r="E30">
        <v>214</v>
      </c>
      <c r="F30">
        <v>14.47</v>
      </c>
      <c r="G30" t="s">
        <v>206</v>
      </c>
      <c r="H30">
        <f t="shared" si="0"/>
        <v>0.38542058920887123</v>
      </c>
      <c r="J30" t="s">
        <v>207</v>
      </c>
      <c r="K30" t="s">
        <v>90</v>
      </c>
      <c r="L30">
        <v>0.37230000000000002</v>
      </c>
      <c r="M30">
        <v>2.3800000000000002E-2</v>
      </c>
      <c r="N30">
        <v>214</v>
      </c>
      <c r="O30">
        <v>15.64</v>
      </c>
      <c r="P30" t="s">
        <v>206</v>
      </c>
      <c r="Q30">
        <f t="shared" si="1"/>
        <v>0.40127941079112878</v>
      </c>
    </row>
    <row r="31" spans="1:17" x14ac:dyDescent="0.35">
      <c r="A31" t="s">
        <v>204</v>
      </c>
      <c r="B31" t="s">
        <v>237</v>
      </c>
      <c r="C31">
        <v>0.40629999999999999</v>
      </c>
      <c r="D31">
        <v>2.3800000000000002E-2</v>
      </c>
      <c r="E31">
        <v>214</v>
      </c>
      <c r="F31">
        <v>17.07</v>
      </c>
      <c r="G31" t="s">
        <v>206</v>
      </c>
      <c r="H31">
        <f t="shared" si="0"/>
        <v>0.37732058920887124</v>
      </c>
      <c r="J31" t="s">
        <v>207</v>
      </c>
      <c r="K31" t="s">
        <v>238</v>
      </c>
      <c r="L31">
        <v>0.3453</v>
      </c>
      <c r="M31">
        <v>2.3800000000000002E-2</v>
      </c>
      <c r="N31">
        <v>214</v>
      </c>
      <c r="O31">
        <v>14.51</v>
      </c>
      <c r="P31" t="s">
        <v>206</v>
      </c>
      <c r="Q31">
        <f t="shared" si="1"/>
        <v>0.37427941079112875</v>
      </c>
    </row>
    <row r="32" spans="1:17" x14ac:dyDescent="0.35">
      <c r="A32" t="s">
        <v>204</v>
      </c>
      <c r="B32" t="s">
        <v>239</v>
      </c>
      <c r="C32">
        <v>0.38400000000000001</v>
      </c>
      <c r="D32">
        <v>2.3800000000000002E-2</v>
      </c>
      <c r="E32">
        <v>214</v>
      </c>
      <c r="F32">
        <v>16.13</v>
      </c>
      <c r="G32" t="s">
        <v>206</v>
      </c>
      <c r="H32">
        <f t="shared" si="0"/>
        <v>0.35502058920887125</v>
      </c>
      <c r="J32" t="s">
        <v>207</v>
      </c>
      <c r="K32" t="s">
        <v>240</v>
      </c>
      <c r="L32">
        <v>0.35770000000000002</v>
      </c>
      <c r="M32">
        <v>2.3800000000000002E-2</v>
      </c>
      <c r="N32">
        <v>214</v>
      </c>
      <c r="O32">
        <v>15.03</v>
      </c>
      <c r="P32" t="s">
        <v>206</v>
      </c>
      <c r="Q32">
        <f t="shared" si="1"/>
        <v>0.38667941079112877</v>
      </c>
    </row>
    <row r="33" spans="1:17" x14ac:dyDescent="0.35">
      <c r="A33" t="s">
        <v>204</v>
      </c>
      <c r="B33" t="s">
        <v>238</v>
      </c>
      <c r="C33">
        <v>0.38769999999999999</v>
      </c>
      <c r="D33">
        <v>2.3800000000000002E-2</v>
      </c>
      <c r="E33">
        <v>214</v>
      </c>
      <c r="F33">
        <v>16.29</v>
      </c>
      <c r="G33" t="s">
        <v>206</v>
      </c>
      <c r="H33">
        <f t="shared" si="0"/>
        <v>0.35872058920887123</v>
      </c>
      <c r="J33" t="s">
        <v>207</v>
      </c>
      <c r="K33" t="s">
        <v>12</v>
      </c>
      <c r="L33">
        <v>0.33129999999999998</v>
      </c>
      <c r="M33">
        <v>2.3800000000000002E-2</v>
      </c>
      <c r="N33">
        <v>214</v>
      </c>
      <c r="O33">
        <v>13.92</v>
      </c>
      <c r="P33" t="s">
        <v>206</v>
      </c>
      <c r="Q33">
        <f t="shared" si="1"/>
        <v>0.36027941079112874</v>
      </c>
    </row>
    <row r="34" spans="1:17" x14ac:dyDescent="0.35">
      <c r="A34" t="s">
        <v>204</v>
      </c>
      <c r="B34" t="s">
        <v>240</v>
      </c>
      <c r="C34">
        <v>0.36770000000000003</v>
      </c>
      <c r="D34">
        <v>2.3800000000000002E-2</v>
      </c>
      <c r="E34">
        <v>214</v>
      </c>
      <c r="F34">
        <v>15.45</v>
      </c>
      <c r="G34" t="s">
        <v>206</v>
      </c>
      <c r="H34">
        <f t="shared" si="0"/>
        <v>0.33872058920887127</v>
      </c>
      <c r="J34" t="s">
        <v>207</v>
      </c>
      <c r="K34" t="s">
        <v>94</v>
      </c>
      <c r="L34">
        <v>0.37469999999999998</v>
      </c>
      <c r="M34">
        <v>2.3800000000000002E-2</v>
      </c>
      <c r="N34">
        <v>214</v>
      </c>
      <c r="O34">
        <v>15.74</v>
      </c>
      <c r="P34" t="s">
        <v>206</v>
      </c>
      <c r="Q34">
        <f t="shared" si="1"/>
        <v>0.40367941079112873</v>
      </c>
    </row>
    <row r="35" spans="1:17" x14ac:dyDescent="0.35">
      <c r="A35" t="s">
        <v>204</v>
      </c>
      <c r="B35" t="s">
        <v>12</v>
      </c>
      <c r="C35">
        <v>0.35930000000000001</v>
      </c>
      <c r="D35">
        <v>2.3800000000000002E-2</v>
      </c>
      <c r="E35">
        <v>214</v>
      </c>
      <c r="F35">
        <v>15.1</v>
      </c>
      <c r="G35" t="s">
        <v>206</v>
      </c>
      <c r="H35">
        <f t="shared" si="0"/>
        <v>0.33032058920887125</v>
      </c>
      <c r="J35" t="s">
        <v>207</v>
      </c>
      <c r="K35" t="s">
        <v>241</v>
      </c>
      <c r="L35">
        <v>0.3503</v>
      </c>
      <c r="M35">
        <v>2.3800000000000002E-2</v>
      </c>
      <c r="N35">
        <v>214</v>
      </c>
      <c r="O35">
        <v>14.72</v>
      </c>
      <c r="P35" t="s">
        <v>206</v>
      </c>
      <c r="Q35">
        <f t="shared" si="1"/>
        <v>0.37927941079112876</v>
      </c>
    </row>
    <row r="36" spans="1:17" x14ac:dyDescent="0.35">
      <c r="A36" t="s">
        <v>204</v>
      </c>
      <c r="B36" t="s">
        <v>94</v>
      </c>
      <c r="C36">
        <v>0.37730000000000002</v>
      </c>
      <c r="D36">
        <v>2.3800000000000002E-2</v>
      </c>
      <c r="E36">
        <v>214</v>
      </c>
      <c r="F36">
        <v>15.85</v>
      </c>
      <c r="G36" t="s">
        <v>206</v>
      </c>
      <c r="H36">
        <f t="shared" si="0"/>
        <v>0.34832058920887127</v>
      </c>
      <c r="J36" t="s">
        <v>207</v>
      </c>
      <c r="K36" t="s">
        <v>242</v>
      </c>
      <c r="L36">
        <v>0.2263</v>
      </c>
      <c r="M36">
        <v>2.3800000000000002E-2</v>
      </c>
      <c r="N36">
        <v>214</v>
      </c>
      <c r="O36">
        <v>9.51</v>
      </c>
      <c r="P36" t="s">
        <v>206</v>
      </c>
      <c r="Q36">
        <f t="shared" si="1"/>
        <v>0.25527941079112876</v>
      </c>
    </row>
    <row r="37" spans="1:17" x14ac:dyDescent="0.35">
      <c r="A37" t="s">
        <v>204</v>
      </c>
      <c r="B37" t="s">
        <v>241</v>
      </c>
      <c r="C37">
        <v>0.4163</v>
      </c>
      <c r="D37">
        <v>2.3800000000000002E-2</v>
      </c>
      <c r="E37">
        <v>214</v>
      </c>
      <c r="F37">
        <v>17.489999999999998</v>
      </c>
      <c r="G37" t="s">
        <v>206</v>
      </c>
      <c r="H37">
        <f t="shared" si="0"/>
        <v>0.38732058920887125</v>
      </c>
      <c r="J37" t="s">
        <v>207</v>
      </c>
      <c r="K37" t="s">
        <v>243</v>
      </c>
      <c r="L37">
        <v>0.36830000000000002</v>
      </c>
      <c r="M37">
        <v>2.3800000000000002E-2</v>
      </c>
      <c r="N37">
        <v>214</v>
      </c>
      <c r="O37">
        <v>15.47</v>
      </c>
      <c r="P37" t="s">
        <v>206</v>
      </c>
      <c r="Q37">
        <f t="shared" si="1"/>
        <v>0.39727941079112877</v>
      </c>
    </row>
    <row r="38" spans="1:17" x14ac:dyDescent="0.35">
      <c r="A38" t="s">
        <v>204</v>
      </c>
      <c r="B38" t="s">
        <v>242</v>
      </c>
      <c r="C38">
        <v>0.33600000000000002</v>
      </c>
      <c r="D38">
        <v>2.3800000000000002E-2</v>
      </c>
      <c r="E38">
        <v>214</v>
      </c>
      <c r="F38">
        <v>14.12</v>
      </c>
      <c r="G38" t="s">
        <v>206</v>
      </c>
      <c r="H38">
        <f t="shared" si="0"/>
        <v>0.30702058920887126</v>
      </c>
      <c r="J38" t="s">
        <v>207</v>
      </c>
      <c r="K38" t="s">
        <v>96</v>
      </c>
      <c r="L38">
        <v>0.32969999999999999</v>
      </c>
      <c r="M38">
        <v>2.3800000000000002E-2</v>
      </c>
      <c r="N38">
        <v>214</v>
      </c>
      <c r="O38">
        <v>13.85</v>
      </c>
      <c r="P38" t="s">
        <v>206</v>
      </c>
      <c r="Q38">
        <f t="shared" si="1"/>
        <v>0.35867941079112875</v>
      </c>
    </row>
    <row r="39" spans="1:17" x14ac:dyDescent="0.35">
      <c r="A39" t="s">
        <v>204</v>
      </c>
      <c r="B39" t="s">
        <v>244</v>
      </c>
      <c r="C39">
        <v>0.434</v>
      </c>
      <c r="D39">
        <v>2.3800000000000002E-2</v>
      </c>
      <c r="E39">
        <v>214</v>
      </c>
      <c r="F39">
        <v>18.23</v>
      </c>
      <c r="G39" t="s">
        <v>206</v>
      </c>
      <c r="H39">
        <f t="shared" si="0"/>
        <v>0.40502058920887124</v>
      </c>
      <c r="J39" t="s">
        <v>207</v>
      </c>
      <c r="K39" t="s">
        <v>245</v>
      </c>
      <c r="L39">
        <v>0.3427</v>
      </c>
      <c r="M39">
        <v>2.3800000000000002E-2</v>
      </c>
      <c r="N39">
        <v>214</v>
      </c>
      <c r="O39">
        <v>14.4</v>
      </c>
      <c r="P39" t="s">
        <v>206</v>
      </c>
      <c r="Q39">
        <f t="shared" si="1"/>
        <v>0.37167941079112876</v>
      </c>
    </row>
    <row r="40" spans="1:17" x14ac:dyDescent="0.35">
      <c r="A40" t="s">
        <v>204</v>
      </c>
      <c r="B40" t="s">
        <v>96</v>
      </c>
      <c r="C40">
        <v>0.37530000000000002</v>
      </c>
      <c r="D40">
        <v>2.3800000000000002E-2</v>
      </c>
      <c r="E40">
        <v>214</v>
      </c>
      <c r="F40">
        <v>15.77</v>
      </c>
      <c r="G40" t="s">
        <v>206</v>
      </c>
      <c r="H40">
        <f t="shared" si="0"/>
        <v>0.34632058920887127</v>
      </c>
      <c r="J40" t="s">
        <v>207</v>
      </c>
      <c r="K40" t="s">
        <v>246</v>
      </c>
      <c r="L40">
        <v>0.35299999999999998</v>
      </c>
      <c r="M40">
        <v>2.3800000000000002E-2</v>
      </c>
      <c r="N40">
        <v>214</v>
      </c>
      <c r="O40">
        <v>14.83</v>
      </c>
      <c r="P40" t="s">
        <v>206</v>
      </c>
      <c r="Q40">
        <f t="shared" si="1"/>
        <v>0.38197941079112874</v>
      </c>
    </row>
    <row r="41" spans="1:17" x14ac:dyDescent="0.35">
      <c r="A41" t="s">
        <v>204</v>
      </c>
      <c r="B41" t="s">
        <v>247</v>
      </c>
      <c r="C41">
        <v>0.39400000000000002</v>
      </c>
      <c r="D41">
        <v>2.3800000000000002E-2</v>
      </c>
      <c r="E41">
        <v>214</v>
      </c>
      <c r="F41">
        <v>16.55</v>
      </c>
      <c r="G41" t="s">
        <v>206</v>
      </c>
      <c r="H41">
        <f t="shared" si="0"/>
        <v>0.36502058920887126</v>
      </c>
      <c r="J41" t="s">
        <v>207</v>
      </c>
      <c r="K41" t="s">
        <v>248</v>
      </c>
      <c r="L41">
        <v>0.35699999999999998</v>
      </c>
      <c r="M41">
        <v>2.3800000000000002E-2</v>
      </c>
      <c r="N41">
        <v>214</v>
      </c>
      <c r="O41">
        <v>15</v>
      </c>
      <c r="P41" t="s">
        <v>206</v>
      </c>
      <c r="Q41">
        <f t="shared" si="1"/>
        <v>0.38597941079112874</v>
      </c>
    </row>
    <row r="42" spans="1:17" x14ac:dyDescent="0.35">
      <c r="A42" t="s">
        <v>204</v>
      </c>
      <c r="B42" t="s">
        <v>245</v>
      </c>
      <c r="C42">
        <v>0.36130000000000001</v>
      </c>
      <c r="D42">
        <v>2.3800000000000002E-2</v>
      </c>
      <c r="E42">
        <v>214</v>
      </c>
      <c r="F42">
        <v>15.18</v>
      </c>
      <c r="G42" t="s">
        <v>206</v>
      </c>
      <c r="H42">
        <f t="shared" si="0"/>
        <v>0.33232058920887125</v>
      </c>
      <c r="J42" t="s">
        <v>207</v>
      </c>
      <c r="K42" t="s">
        <v>249</v>
      </c>
      <c r="L42">
        <v>0.28270000000000001</v>
      </c>
      <c r="M42">
        <v>2.3800000000000002E-2</v>
      </c>
      <c r="N42">
        <v>214</v>
      </c>
      <c r="O42">
        <v>11.87</v>
      </c>
      <c r="P42" t="s">
        <v>206</v>
      </c>
      <c r="Q42">
        <f t="shared" si="1"/>
        <v>0.31167941079112876</v>
      </c>
    </row>
    <row r="43" spans="1:17" x14ac:dyDescent="0.35">
      <c r="A43" t="s">
        <v>204</v>
      </c>
      <c r="B43" t="s">
        <v>246</v>
      </c>
      <c r="C43">
        <v>0.4194</v>
      </c>
      <c r="D43">
        <v>2.8649999999999998E-2</v>
      </c>
      <c r="E43">
        <v>214</v>
      </c>
      <c r="F43">
        <v>14.64</v>
      </c>
      <c r="G43" t="s">
        <v>206</v>
      </c>
      <c r="H43">
        <f t="shared" si="0"/>
        <v>0.39042058920887124</v>
      </c>
      <c r="J43" t="s">
        <v>207</v>
      </c>
      <c r="K43" t="s">
        <v>250</v>
      </c>
      <c r="L43">
        <v>0.37630000000000002</v>
      </c>
      <c r="M43">
        <v>2.3800000000000002E-2</v>
      </c>
      <c r="N43">
        <v>214</v>
      </c>
      <c r="O43">
        <v>15.81</v>
      </c>
      <c r="P43" t="s">
        <v>206</v>
      </c>
      <c r="Q43">
        <f t="shared" si="1"/>
        <v>0.40527941079112878</v>
      </c>
    </row>
    <row r="44" spans="1:17" x14ac:dyDescent="0.35">
      <c r="A44" t="s">
        <v>204</v>
      </c>
      <c r="B44" t="s">
        <v>248</v>
      </c>
      <c r="C44">
        <v>0.40600000000000003</v>
      </c>
      <c r="D44">
        <v>2.3800000000000002E-2</v>
      </c>
      <c r="E44">
        <v>214</v>
      </c>
      <c r="F44">
        <v>17.059999999999999</v>
      </c>
      <c r="G44" t="s">
        <v>206</v>
      </c>
      <c r="H44">
        <f t="shared" si="0"/>
        <v>0.37702058920887127</v>
      </c>
      <c r="J44" t="s">
        <v>207</v>
      </c>
      <c r="K44" t="s">
        <v>251</v>
      </c>
      <c r="L44">
        <v>0.32429999999999998</v>
      </c>
      <c r="M44">
        <v>2.3800000000000002E-2</v>
      </c>
      <c r="N44">
        <v>214</v>
      </c>
      <c r="O44">
        <v>13.63</v>
      </c>
      <c r="P44" t="s">
        <v>206</v>
      </c>
      <c r="Q44">
        <f t="shared" si="1"/>
        <v>0.35327941079112873</v>
      </c>
    </row>
    <row r="45" spans="1:17" x14ac:dyDescent="0.35">
      <c r="A45" t="s">
        <v>204</v>
      </c>
      <c r="B45" t="s">
        <v>250</v>
      </c>
      <c r="C45">
        <v>0.37330000000000002</v>
      </c>
      <c r="D45">
        <v>2.3800000000000002E-2</v>
      </c>
      <c r="E45">
        <v>214</v>
      </c>
      <c r="F45">
        <v>15.68</v>
      </c>
      <c r="G45" t="s">
        <v>206</v>
      </c>
      <c r="H45">
        <f t="shared" si="0"/>
        <v>0.34432058920887126</v>
      </c>
      <c r="J45" t="s">
        <v>207</v>
      </c>
      <c r="K45" t="s">
        <v>252</v>
      </c>
      <c r="L45">
        <v>0.32200000000000001</v>
      </c>
      <c r="M45">
        <v>2.3800000000000002E-2</v>
      </c>
      <c r="N45">
        <v>214</v>
      </c>
      <c r="O45">
        <v>13.53</v>
      </c>
      <c r="P45" t="s">
        <v>206</v>
      </c>
      <c r="Q45">
        <f t="shared" si="1"/>
        <v>0.35097941079112877</v>
      </c>
    </row>
    <row r="46" spans="1:17" x14ac:dyDescent="0.35">
      <c r="A46" t="s">
        <v>204</v>
      </c>
      <c r="B46" t="s">
        <v>251</v>
      </c>
      <c r="C46">
        <v>0.40970000000000001</v>
      </c>
      <c r="D46">
        <v>2.3800000000000002E-2</v>
      </c>
      <c r="E46">
        <v>214</v>
      </c>
      <c r="F46">
        <v>17.21</v>
      </c>
      <c r="G46" t="s">
        <v>206</v>
      </c>
      <c r="H46">
        <f t="shared" si="0"/>
        <v>0.38072058920887125</v>
      </c>
      <c r="J46" t="s">
        <v>207</v>
      </c>
      <c r="K46" t="s">
        <v>107</v>
      </c>
      <c r="L46">
        <v>0.38100000000000001</v>
      </c>
      <c r="M46">
        <v>2.3800000000000002E-2</v>
      </c>
      <c r="N46">
        <v>214</v>
      </c>
      <c r="O46">
        <v>16.010000000000002</v>
      </c>
      <c r="P46" t="s">
        <v>206</v>
      </c>
      <c r="Q46">
        <f t="shared" si="1"/>
        <v>0.40997941079112876</v>
      </c>
    </row>
    <row r="47" spans="1:17" x14ac:dyDescent="0.35">
      <c r="A47" t="s">
        <v>204</v>
      </c>
      <c r="B47" t="s">
        <v>252</v>
      </c>
      <c r="C47">
        <v>0.40629999999999999</v>
      </c>
      <c r="D47">
        <v>2.3800000000000002E-2</v>
      </c>
      <c r="E47">
        <v>214</v>
      </c>
      <c r="F47">
        <v>17.07</v>
      </c>
      <c r="G47" t="s">
        <v>206</v>
      </c>
      <c r="H47">
        <f t="shared" si="0"/>
        <v>0.37732058920887124</v>
      </c>
      <c r="J47" t="s">
        <v>207</v>
      </c>
      <c r="K47" t="s">
        <v>253</v>
      </c>
      <c r="L47">
        <v>0.34399999999999997</v>
      </c>
      <c r="M47">
        <v>2.3800000000000002E-2</v>
      </c>
      <c r="N47">
        <v>214</v>
      </c>
      <c r="O47">
        <v>14.45</v>
      </c>
      <c r="P47" t="s">
        <v>206</v>
      </c>
      <c r="Q47">
        <f t="shared" si="1"/>
        <v>0.37297941079112873</v>
      </c>
    </row>
    <row r="48" spans="1:17" x14ac:dyDescent="0.35">
      <c r="A48" t="s">
        <v>204</v>
      </c>
      <c r="B48" t="s">
        <v>254</v>
      </c>
      <c r="C48">
        <v>0.35799999999999998</v>
      </c>
      <c r="D48">
        <v>2.3800000000000002E-2</v>
      </c>
      <c r="E48">
        <v>214</v>
      </c>
      <c r="F48">
        <v>15.04</v>
      </c>
      <c r="G48" t="s">
        <v>206</v>
      </c>
      <c r="H48">
        <f t="shared" si="0"/>
        <v>0.32902058920887123</v>
      </c>
      <c r="J48" t="s">
        <v>207</v>
      </c>
      <c r="K48" t="s">
        <v>108</v>
      </c>
      <c r="L48">
        <v>0.36170000000000002</v>
      </c>
      <c r="M48">
        <v>2.3800000000000002E-2</v>
      </c>
      <c r="N48">
        <v>214</v>
      </c>
      <c r="O48">
        <v>15.19</v>
      </c>
      <c r="P48" t="s">
        <v>206</v>
      </c>
      <c r="Q48">
        <f t="shared" si="1"/>
        <v>0.39067941079112878</v>
      </c>
    </row>
    <row r="49" spans="1:17" x14ac:dyDescent="0.35">
      <c r="A49" t="s">
        <v>204</v>
      </c>
      <c r="B49" t="s">
        <v>255</v>
      </c>
      <c r="C49">
        <v>0.41170000000000001</v>
      </c>
      <c r="D49">
        <v>2.3800000000000002E-2</v>
      </c>
      <c r="E49">
        <v>214</v>
      </c>
      <c r="F49">
        <v>17.29</v>
      </c>
      <c r="G49" t="s">
        <v>206</v>
      </c>
      <c r="H49">
        <f t="shared" si="0"/>
        <v>0.38272058920887125</v>
      </c>
      <c r="J49" t="s">
        <v>207</v>
      </c>
      <c r="K49" t="s">
        <v>109</v>
      </c>
      <c r="L49">
        <v>0.3533</v>
      </c>
      <c r="M49">
        <v>2.3800000000000002E-2</v>
      </c>
      <c r="N49">
        <v>214</v>
      </c>
      <c r="O49">
        <v>14.84</v>
      </c>
      <c r="P49" t="s">
        <v>206</v>
      </c>
      <c r="Q49">
        <f t="shared" si="1"/>
        <v>0.38227941079112876</v>
      </c>
    </row>
    <row r="50" spans="1:17" x14ac:dyDescent="0.35">
      <c r="A50" t="s">
        <v>204</v>
      </c>
      <c r="B50" t="s">
        <v>256</v>
      </c>
      <c r="C50">
        <v>0.41930000000000001</v>
      </c>
      <c r="D50">
        <v>2.3800000000000002E-2</v>
      </c>
      <c r="E50">
        <v>214</v>
      </c>
      <c r="F50">
        <v>17.62</v>
      </c>
      <c r="G50" t="s">
        <v>206</v>
      </c>
      <c r="H50">
        <f t="shared" si="0"/>
        <v>0.39032058920887125</v>
      </c>
      <c r="J50" t="s">
        <v>207</v>
      </c>
      <c r="K50" t="s">
        <v>110</v>
      </c>
      <c r="L50">
        <v>0.28029999999999999</v>
      </c>
      <c r="M50">
        <v>2.3800000000000002E-2</v>
      </c>
      <c r="N50">
        <v>214</v>
      </c>
      <c r="O50">
        <v>11.78</v>
      </c>
      <c r="P50" t="s">
        <v>206</v>
      </c>
      <c r="Q50">
        <f t="shared" si="1"/>
        <v>0.30927941079112875</v>
      </c>
    </row>
    <row r="51" spans="1:17" x14ac:dyDescent="0.35">
      <c r="A51" t="s">
        <v>204</v>
      </c>
      <c r="B51" t="s">
        <v>253</v>
      </c>
      <c r="C51">
        <v>0.39400000000000002</v>
      </c>
      <c r="D51">
        <v>2.3800000000000002E-2</v>
      </c>
      <c r="E51">
        <v>214</v>
      </c>
      <c r="F51">
        <v>16.55</v>
      </c>
      <c r="G51" t="s">
        <v>206</v>
      </c>
      <c r="H51">
        <f t="shared" si="0"/>
        <v>0.36502058920887126</v>
      </c>
      <c r="J51" t="s">
        <v>207</v>
      </c>
      <c r="K51" t="s">
        <v>257</v>
      </c>
      <c r="L51">
        <v>0.30930000000000002</v>
      </c>
      <c r="M51">
        <v>2.3800000000000002E-2</v>
      </c>
      <c r="N51">
        <v>214</v>
      </c>
      <c r="O51">
        <v>13</v>
      </c>
      <c r="P51" t="s">
        <v>206</v>
      </c>
      <c r="Q51">
        <f t="shared" si="1"/>
        <v>0.33827941079112878</v>
      </c>
    </row>
    <row r="52" spans="1:17" x14ac:dyDescent="0.35">
      <c r="A52" t="s">
        <v>204</v>
      </c>
      <c r="B52" t="s">
        <v>108</v>
      </c>
      <c r="C52">
        <v>0.42930000000000001</v>
      </c>
      <c r="D52">
        <v>2.3800000000000002E-2</v>
      </c>
      <c r="E52">
        <v>214</v>
      </c>
      <c r="F52">
        <v>18.04</v>
      </c>
      <c r="G52" t="s">
        <v>206</v>
      </c>
      <c r="H52">
        <f t="shared" si="0"/>
        <v>0.40032058920887126</v>
      </c>
      <c r="J52" t="s">
        <v>207</v>
      </c>
      <c r="K52" t="s">
        <v>112</v>
      </c>
      <c r="L52">
        <v>0.33300000000000002</v>
      </c>
      <c r="M52">
        <v>2.3800000000000002E-2</v>
      </c>
      <c r="N52">
        <v>214</v>
      </c>
      <c r="O52">
        <v>13.99</v>
      </c>
      <c r="P52" t="s">
        <v>206</v>
      </c>
      <c r="Q52">
        <f t="shared" si="1"/>
        <v>0.36197941079112878</v>
      </c>
    </row>
    <row r="53" spans="1:17" x14ac:dyDescent="0.35">
      <c r="A53" t="s">
        <v>204</v>
      </c>
      <c r="B53" t="s">
        <v>109</v>
      </c>
      <c r="C53">
        <v>0.41770000000000002</v>
      </c>
      <c r="D53">
        <v>2.3800000000000002E-2</v>
      </c>
      <c r="E53">
        <v>214</v>
      </c>
      <c r="F53">
        <v>17.55</v>
      </c>
      <c r="G53" t="s">
        <v>206</v>
      </c>
      <c r="H53">
        <f t="shared" si="0"/>
        <v>0.38872058920887126</v>
      </c>
      <c r="J53" t="s">
        <v>207</v>
      </c>
      <c r="K53" t="s">
        <v>113</v>
      </c>
      <c r="L53">
        <v>0.33500000000000002</v>
      </c>
      <c r="M53">
        <v>2.3800000000000002E-2</v>
      </c>
      <c r="N53">
        <v>214</v>
      </c>
      <c r="O53">
        <v>14.07</v>
      </c>
      <c r="P53" t="s">
        <v>206</v>
      </c>
      <c r="Q53">
        <f t="shared" si="1"/>
        <v>0.36397941079112878</v>
      </c>
    </row>
    <row r="54" spans="1:17" x14ac:dyDescent="0.35">
      <c r="A54" t="s">
        <v>204</v>
      </c>
      <c r="B54" t="s">
        <v>110</v>
      </c>
      <c r="C54">
        <v>0.3463</v>
      </c>
      <c r="D54">
        <v>2.3800000000000002E-2</v>
      </c>
      <c r="E54">
        <v>214</v>
      </c>
      <c r="F54">
        <v>14.55</v>
      </c>
      <c r="G54" t="s">
        <v>206</v>
      </c>
      <c r="H54">
        <f t="shared" si="0"/>
        <v>0.31732058920887124</v>
      </c>
      <c r="J54" t="s">
        <v>207</v>
      </c>
      <c r="K54" t="s">
        <v>114</v>
      </c>
      <c r="L54">
        <v>0.35099999999999998</v>
      </c>
      <c r="M54">
        <v>2.3800000000000002E-2</v>
      </c>
      <c r="N54">
        <v>214</v>
      </c>
      <c r="O54">
        <v>14.75</v>
      </c>
      <c r="P54" t="s">
        <v>206</v>
      </c>
      <c r="Q54">
        <f t="shared" si="1"/>
        <v>0.37997941079112874</v>
      </c>
    </row>
    <row r="55" spans="1:17" x14ac:dyDescent="0.35">
      <c r="A55" t="s">
        <v>204</v>
      </c>
      <c r="B55" t="s">
        <v>257</v>
      </c>
      <c r="C55">
        <v>0.35370000000000001</v>
      </c>
      <c r="D55">
        <v>2.3800000000000002E-2</v>
      </c>
      <c r="E55">
        <v>214</v>
      </c>
      <c r="F55">
        <v>14.86</v>
      </c>
      <c r="G55" t="s">
        <v>206</v>
      </c>
      <c r="H55">
        <f t="shared" si="0"/>
        <v>0.32472058920887126</v>
      </c>
    </row>
    <row r="56" spans="1:17" x14ac:dyDescent="0.35">
      <c r="A56" t="s">
        <v>204</v>
      </c>
      <c r="B56" t="s">
        <v>113</v>
      </c>
      <c r="C56">
        <v>0.37830000000000003</v>
      </c>
      <c r="D56">
        <v>2.3800000000000002E-2</v>
      </c>
      <c r="E56">
        <v>214</v>
      </c>
      <c r="F56">
        <v>15.89</v>
      </c>
      <c r="G56" t="s">
        <v>206</v>
      </c>
      <c r="H56">
        <f t="shared" si="0"/>
        <v>0.34932058920887127</v>
      </c>
    </row>
    <row r="57" spans="1:17" x14ac:dyDescent="0.35">
      <c r="A57" t="s">
        <v>204</v>
      </c>
      <c r="B57" t="s">
        <v>114</v>
      </c>
      <c r="C57">
        <v>0.38900000000000001</v>
      </c>
      <c r="D57">
        <v>2.3800000000000002E-2</v>
      </c>
      <c r="E57">
        <v>214</v>
      </c>
      <c r="F57">
        <v>16.34</v>
      </c>
      <c r="G57" t="s">
        <v>206</v>
      </c>
      <c r="H57">
        <f t="shared" si="0"/>
        <v>0.36002058920887126</v>
      </c>
    </row>
    <row r="58" spans="1:17" x14ac:dyDescent="0.35">
      <c r="A58" t="s">
        <v>204</v>
      </c>
      <c r="B58" t="s">
        <v>258</v>
      </c>
      <c r="C58">
        <v>0.35270000000000001</v>
      </c>
      <c r="D58">
        <v>2.3800000000000002E-2</v>
      </c>
      <c r="E58">
        <v>214</v>
      </c>
      <c r="F58">
        <v>14.82</v>
      </c>
      <c r="G58" t="s">
        <v>206</v>
      </c>
      <c r="H58">
        <f t="shared" si="0"/>
        <v>0.32372058920887126</v>
      </c>
    </row>
    <row r="60" spans="1:17" x14ac:dyDescent="0.35">
      <c r="C60">
        <f>AVERAGE(C2:C58)</f>
        <v>0.40004561403508765</v>
      </c>
      <c r="H60">
        <f>(C60+L60)/2</f>
        <v>0.37106620324395889</v>
      </c>
      <c r="L60">
        <f>AVERAGE(L2:L58)</f>
        <v>0.34208679245283014</v>
      </c>
    </row>
    <row r="61" spans="1:17" x14ac:dyDescent="0.35">
      <c r="H61">
        <f>C60-H60</f>
        <v>2.8979410791128757E-2</v>
      </c>
    </row>
    <row r="62" spans="1:17" x14ac:dyDescent="0.35">
      <c r="H62">
        <f>H60-L60</f>
        <v>2.8979410791128757E-2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m l Q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C K a V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m l Q V C i K R 7 g O A A A A E Q A A A B M A H A B G b 3 J t d W x h c y 9 T Z W N 0 a W 9 u M S 5 t I K I Y A C i g F A A A A A A A A A A A A A A A A A A A A A A A A A A A A C t O T S 7 J z M 9 T C I b Q h t Y A U E s B A i 0 A F A A C A A g A i m l Q V F 2 d n Z i j A A A A 9 g A A A B I A A A A A A A A A A A A A A A A A A A A A A E N v b m Z p Z y 9 Q Y W N r Y W d l L n h t b F B L A Q I t A B Q A A g A I A I p p U F Q P y u m r p A A A A O k A A A A T A A A A A A A A A A A A A A A A A O 8 A A A B b Q 2 9 u d G V u d F 9 U e X B l c 1 0 u e G 1 s U E s B A i 0 A F A A C A A g A i m l Q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s q X L F W B E 9 K i Z Y O 1 x 4 K J n A A A A A A A g A A A A A A E G Y A A A A B A A A g A A A A 7 r 1 0 8 A 0 M b 1 x D C B Q I L t j 1 a K m B + A c q n S w 6 C R m a Y 5 X S + 9 0 A A A A A D o A A A A A C A A A g A A A A N g U O A u n L L / f g + s c b l O q 6 n m j v X p n 3 o B u x 7 7 a f w W Y a O n 5 Q A A A A U 9 j g x G E w o C 0 e u m W 9 H p V M i A 4 D u E N g H p D C X q H 6 I T n + J 6 6 c g f t 4 d o 0 R c n A X v H G 0 w 2 X g + F V h 8 f 6 t v q L U C 8 L X d u h I Q f A Q e 9 p 8 A B x d X F n W 8 e d E x e 5 A A A A A + o 6 P M y + W S K F f V h D + D T o x 8 N h o m z 5 f 0 q f i 8 9 g J 8 l S p A w A q 5 N B y G e 4 e t p G w i B h g W v 4 C N l N N j N D 2 s b l g a L K 8 C d d y a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C84FE62715144A76E791CF9956B47" ma:contentTypeVersion="10" ma:contentTypeDescription="Create a new document." ma:contentTypeScope="" ma:versionID="6a9aac7c3f892c7855d624923f4d51ec">
  <xsd:schema xmlns:xsd="http://www.w3.org/2001/XMLSchema" xmlns:xs="http://www.w3.org/2001/XMLSchema" xmlns:p="http://schemas.microsoft.com/office/2006/metadata/properties" xmlns:ns3="2f231e91-8804-49cb-9268-5ba78d05dc5a" xmlns:ns4="8c302c9f-258f-452f-8818-0fb92900a7f5" targetNamespace="http://schemas.microsoft.com/office/2006/metadata/properties" ma:root="true" ma:fieldsID="0ca3bb96790204768e56e3b775dedd05" ns3:_="" ns4:_="">
    <xsd:import namespace="2f231e91-8804-49cb-9268-5ba78d05dc5a"/>
    <xsd:import namespace="8c302c9f-258f-452f-8818-0fb92900a7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31e91-8804-49cb-9268-5ba78d05dc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2c9f-258f-452f-8818-0fb92900a7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473785-A336-4642-A68C-6FD4A44C41C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F72FE1-8908-4A78-8761-23C6DFFC3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31e91-8804-49cb-9268-5ba78d05dc5a"/>
    <ds:schemaRef ds:uri="8c302c9f-258f-452f-8818-0fb92900a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1821BC-7EAE-4D3D-8429-E5D4D29607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85E678-2253-49DE-846D-F6BC3E35ACA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Full_Calculator</vt:lpstr>
      <vt:lpstr>Citations</vt:lpstr>
      <vt:lpstr>Drop down 1</vt:lpstr>
      <vt:lpstr>Drop down 2</vt:lpstr>
      <vt:lpstr>Drop down 3</vt:lpstr>
      <vt:lpstr>Drop down 4</vt:lpstr>
      <vt:lpstr>Drop down extra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Madsen</dc:creator>
  <cp:keywords/>
  <dc:description/>
  <cp:lastModifiedBy>Crowder, David William</cp:lastModifiedBy>
  <cp:revision/>
  <dcterms:created xsi:type="dcterms:W3CDTF">2015-06-05T18:17:20Z</dcterms:created>
  <dcterms:modified xsi:type="dcterms:W3CDTF">2025-08-25T21:38:17Z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0x010100030C84FE62715144A76E791CF9956B47</vt:lpwstr>
  </property>
</Properties>
</file>